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600" windowHeight="6795" activeTab="4"/>
  </bookViews>
  <sheets>
    <sheet name="EPS" sheetId="4" r:id="rId1"/>
    <sheet name="StemCells" sheetId="3" r:id="rId2"/>
    <sheet name="Input" sheetId="1" r:id="rId3"/>
    <sheet name="Output" sheetId="2" r:id="rId4"/>
    <sheet name="Edison Feb 2016" sheetId="5" r:id="rId5"/>
  </sheets>
  <calcPr calcId="125725"/>
</workbook>
</file>

<file path=xl/calcChain.xml><?xml version="1.0" encoding="utf-8"?>
<calcChain xmlns="http://schemas.openxmlformats.org/spreadsheetml/2006/main">
  <c r="J30" i="3"/>
  <c r="J29"/>
  <c r="J28"/>
  <c r="J27"/>
  <c r="C5" i="5"/>
  <c r="G14"/>
  <c r="H13"/>
  <c r="I13" s="1"/>
  <c r="G12"/>
  <c r="C7"/>
  <c r="B7"/>
  <c r="H6"/>
  <c r="I6" s="1"/>
  <c r="G5"/>
  <c r="D5"/>
  <c r="D7" s="1"/>
  <c r="C21"/>
  <c r="E22" i="1" s="1"/>
  <c r="E3" i="5"/>
  <c r="F3" s="1"/>
  <c r="G3" s="1"/>
  <c r="H3" s="1"/>
  <c r="I3" s="1"/>
  <c r="J3" s="1"/>
  <c r="K3" s="1"/>
  <c r="L3" s="1"/>
  <c r="M3" s="1"/>
  <c r="N3" s="1"/>
  <c r="O3" s="1"/>
  <c r="E5" l="1"/>
  <c r="F5" s="1"/>
  <c r="G18"/>
  <c r="G7"/>
  <c r="J13"/>
  <c r="J12" s="1"/>
  <c r="J14" s="1"/>
  <c r="I12"/>
  <c r="I14" s="1"/>
  <c r="J6"/>
  <c r="K6" s="1"/>
  <c r="I5"/>
  <c r="I7" s="1"/>
  <c r="H5"/>
  <c r="H7" s="1"/>
  <c r="H12"/>
  <c r="H14" s="1"/>
  <c r="F21"/>
  <c r="E19" i="1" s="1"/>
  <c r="F7" i="5"/>
  <c r="B19"/>
  <c r="E21"/>
  <c r="E20" i="1" s="1"/>
  <c r="E7" i="5"/>
  <c r="D21"/>
  <c r="E21" i="1" s="1"/>
  <c r="I6" i="2"/>
  <c r="I5" s="1"/>
  <c r="B21" i="1"/>
  <c r="F45" i="4"/>
  <c r="F44"/>
  <c r="F43"/>
  <c r="F42"/>
  <c r="H37"/>
  <c r="B37" s="1"/>
  <c r="E37" s="1"/>
  <c r="H36"/>
  <c r="B36" s="1"/>
  <c r="E36" s="1"/>
  <c r="H34"/>
  <c r="J30"/>
  <c r="J28"/>
  <c r="E34"/>
  <c r="B27"/>
  <c r="B30" s="1"/>
  <c r="B28" s="1"/>
  <c r="J14"/>
  <c r="I14"/>
  <c r="H14"/>
  <c r="G14"/>
  <c r="F14"/>
  <c r="E14"/>
  <c r="D14"/>
  <c r="C14"/>
  <c r="B14"/>
  <c r="J10"/>
  <c r="J12" s="1"/>
  <c r="J16" s="1"/>
  <c r="J18" s="1"/>
  <c r="J20" s="1"/>
  <c r="J23" s="1"/>
  <c r="J26" s="1"/>
  <c r="J27" s="1"/>
  <c r="I10"/>
  <c r="I12" s="1"/>
  <c r="I16" s="1"/>
  <c r="I18" s="1"/>
  <c r="I20" s="1"/>
  <c r="H10"/>
  <c r="H12" s="1"/>
  <c r="H16" s="1"/>
  <c r="H18" s="1"/>
  <c r="H20" s="1"/>
  <c r="G10"/>
  <c r="G12" s="1"/>
  <c r="G16" s="1"/>
  <c r="G18" s="1"/>
  <c r="G20" s="1"/>
  <c r="F10"/>
  <c r="F12" s="1"/>
  <c r="F16" s="1"/>
  <c r="F18" s="1"/>
  <c r="F20" s="1"/>
  <c r="E10"/>
  <c r="E12" s="1"/>
  <c r="E16" s="1"/>
  <c r="E18" s="1"/>
  <c r="E20" s="1"/>
  <c r="D10"/>
  <c r="D12" s="1"/>
  <c r="D16" s="1"/>
  <c r="D18" s="1"/>
  <c r="D20" s="1"/>
  <c r="C10"/>
  <c r="C12" s="1"/>
  <c r="C16" s="1"/>
  <c r="C18" s="1"/>
  <c r="C20" s="1"/>
  <c r="B10"/>
  <c r="B12" s="1"/>
  <c r="B16" s="1"/>
  <c r="B18" s="1"/>
  <c r="B20" s="1"/>
  <c r="J5" i="5" l="1"/>
  <c r="K13"/>
  <c r="L13" s="1"/>
  <c r="B17" i="1"/>
  <c r="I18" i="5"/>
  <c r="H18"/>
  <c r="B22"/>
  <c r="J18"/>
  <c r="J7"/>
  <c r="K5"/>
  <c r="L6"/>
  <c r="B13" i="1"/>
  <c r="B27" i="3"/>
  <c r="B30" s="1"/>
  <c r="B28" s="1"/>
  <c r="J14"/>
  <c r="I14"/>
  <c r="H14"/>
  <c r="G14"/>
  <c r="F14"/>
  <c r="E14"/>
  <c r="D14"/>
  <c r="C14"/>
  <c r="B14"/>
  <c r="J10"/>
  <c r="J12" s="1"/>
  <c r="I10"/>
  <c r="I12" s="1"/>
  <c r="I16" s="1"/>
  <c r="I18" s="1"/>
  <c r="I20" s="1"/>
  <c r="H10"/>
  <c r="H12" s="1"/>
  <c r="G10"/>
  <c r="G12" s="1"/>
  <c r="F10"/>
  <c r="F12" s="1"/>
  <c r="E10"/>
  <c r="E12" s="1"/>
  <c r="E16" s="1"/>
  <c r="E18" s="1"/>
  <c r="E20" s="1"/>
  <c r="D10"/>
  <c r="D12" s="1"/>
  <c r="C10"/>
  <c r="C12" s="1"/>
  <c r="B10"/>
  <c r="B12" s="1"/>
  <c r="D16" l="1"/>
  <c r="D18" s="1"/>
  <c r="D20" s="1"/>
  <c r="H16"/>
  <c r="H18" s="1"/>
  <c r="H20" s="1"/>
  <c r="C16"/>
  <c r="C18" s="1"/>
  <c r="C20" s="1"/>
  <c r="G16"/>
  <c r="G18" s="1"/>
  <c r="G20" s="1"/>
  <c r="B16"/>
  <c r="B18" s="1"/>
  <c r="B20" s="1"/>
  <c r="F16"/>
  <c r="F18" s="1"/>
  <c r="F20" s="1"/>
  <c r="J16"/>
  <c r="J18" s="1"/>
  <c r="J20" s="1"/>
  <c r="K12" i="5"/>
  <c r="K14" s="1"/>
  <c r="K7"/>
  <c r="L12"/>
  <c r="L14" s="1"/>
  <c r="M13"/>
  <c r="M6"/>
  <c r="L5"/>
  <c r="H3" i="2"/>
  <c r="G3"/>
  <c r="F3"/>
  <c r="E3"/>
  <c r="D3"/>
  <c r="B3"/>
  <c r="A3"/>
  <c r="E14" i="1"/>
  <c r="E13"/>
  <c r="E12"/>
  <c r="E15"/>
  <c r="C32"/>
  <c r="E30" s="1"/>
  <c r="B169"/>
  <c r="B168"/>
  <c r="B126"/>
  <c r="B125"/>
  <c r="B84"/>
  <c r="B83"/>
  <c r="B57"/>
  <c r="B56"/>
  <c r="B48" a="1"/>
  <c r="C48" s="1"/>
  <c r="F35"/>
  <c r="H33" s="1"/>
  <c r="E35"/>
  <c r="H32" s="1"/>
  <c r="D35"/>
  <c r="C35"/>
  <c r="B35"/>
  <c r="H29" s="1"/>
  <c r="F33"/>
  <c r="E33"/>
  <c r="F32" s="1"/>
  <c r="D33"/>
  <c r="F31" s="1"/>
  <c r="C33"/>
  <c r="F30" s="1"/>
  <c r="B33"/>
  <c r="F29" s="1"/>
  <c r="E32"/>
  <c r="D32"/>
  <c r="E31" s="1"/>
  <c r="B32"/>
  <c r="E29" s="1"/>
  <c r="D31"/>
  <c r="C31"/>
  <c r="D30" s="1"/>
  <c r="B31"/>
  <c r="C30"/>
  <c r="B30"/>
  <c r="C29" s="1"/>
  <c r="D29"/>
  <c r="B29"/>
  <c r="K18" i="5" l="1"/>
  <c r="N13"/>
  <c r="M12"/>
  <c r="M14" s="1"/>
  <c r="N6"/>
  <c r="M5"/>
  <c r="L7"/>
  <c r="L18"/>
  <c r="D37" i="1"/>
  <c r="B41"/>
  <c r="F40"/>
  <c r="C41"/>
  <c r="E41"/>
  <c r="B37"/>
  <c r="F37"/>
  <c r="C37"/>
  <c r="E37"/>
  <c r="E40"/>
  <c r="F41"/>
  <c r="B40"/>
  <c r="D40"/>
  <c r="B48"/>
  <c r="C40"/>
  <c r="H31"/>
  <c r="B39" s="1"/>
  <c r="D41"/>
  <c r="H30"/>
  <c r="F38" s="1"/>
  <c r="M18" i="5" l="1"/>
  <c r="M7"/>
  <c r="N12"/>
  <c r="N14" s="1"/>
  <c r="O13"/>
  <c r="N5"/>
  <c r="O6"/>
  <c r="B38" i="1"/>
  <c r="E38"/>
  <c r="D39"/>
  <c r="C38"/>
  <c r="C39"/>
  <c r="D38"/>
  <c r="E39"/>
  <c r="F39"/>
  <c r="O5" i="5" l="1"/>
  <c r="O12"/>
  <c r="O14" s="1"/>
  <c r="N18"/>
  <c r="N7"/>
  <c r="O7"/>
  <c r="B50" i="1" a="1"/>
  <c r="O18" i="5" l="1"/>
  <c r="B9"/>
  <c r="B16"/>
  <c r="B50" i="1"/>
  <c r="B51"/>
  <c r="B17" i="5" l="1"/>
  <c r="B20" s="1"/>
  <c r="B23"/>
  <c r="F14" i="2"/>
  <c r="E18" i="1"/>
  <c r="B53"/>
  <c r="B58" s="1"/>
  <c r="B54" l="1"/>
  <c r="B59"/>
  <c r="B60" s="1"/>
  <c r="B70" l="1"/>
  <c r="B64"/>
  <c r="D60"/>
  <c r="B71"/>
  <c r="B65"/>
  <c r="B61"/>
  <c r="B63" s="1"/>
  <c r="B74" l="1" a="1"/>
  <c r="B76" a="1"/>
  <c r="D91"/>
  <c r="F91"/>
  <c r="E60"/>
  <c r="E91" s="1"/>
  <c r="B66" l="1"/>
  <c r="B67" s="1"/>
  <c r="B74"/>
  <c r="C74"/>
  <c r="D74"/>
  <c r="B76"/>
  <c r="B77"/>
  <c r="B78"/>
  <c r="B100" l="1"/>
  <c r="F37" i="2"/>
  <c r="F4" s="1"/>
  <c r="B80" i="1"/>
  <c r="B81" l="1"/>
  <c r="B85"/>
  <c r="B86" l="1"/>
  <c r="B87" s="1"/>
  <c r="B107" s="1"/>
  <c r="B112" l="1"/>
  <c r="B108"/>
  <c r="B93"/>
  <c r="B91" s="1"/>
  <c r="F87"/>
  <c r="B88"/>
  <c r="B89"/>
  <c r="D87"/>
  <c r="B111"/>
  <c r="E87"/>
  <c r="B110"/>
  <c r="B97"/>
  <c r="B98" l="1"/>
  <c r="B105"/>
  <c r="F133"/>
  <c r="E133"/>
  <c r="B95"/>
  <c r="B92"/>
  <c r="B94" s="1"/>
  <c r="F38" i="2" s="1"/>
  <c r="F5" s="1"/>
  <c r="G133" i="1"/>
  <c r="D133"/>
  <c r="B115" a="1"/>
  <c r="B117" a="1"/>
  <c r="B102" l="1"/>
  <c r="B142" s="1"/>
  <c r="D115"/>
  <c r="E115"/>
  <c r="B115"/>
  <c r="C115"/>
  <c r="B118"/>
  <c r="B119"/>
  <c r="B120"/>
  <c r="B117"/>
  <c r="B122" l="1"/>
  <c r="B123" l="1"/>
  <c r="B127"/>
  <c r="B128" l="1"/>
  <c r="B129" s="1"/>
  <c r="B152" l="1"/>
  <c r="F129"/>
  <c r="B153"/>
  <c r="B148"/>
  <c r="B149" s="1"/>
  <c r="G129"/>
  <c r="B154"/>
  <c r="B135"/>
  <c r="B133" s="1"/>
  <c r="B130"/>
  <c r="D129"/>
  <c r="B131"/>
  <c r="E129"/>
  <c r="B151"/>
  <c r="H176" l="1"/>
  <c r="D176"/>
  <c r="G176"/>
  <c r="B138"/>
  <c r="B143" s="1"/>
  <c r="B185" s="1"/>
  <c r="B134"/>
  <c r="B137" s="1"/>
  <c r="F39" i="2" s="1"/>
  <c r="F6" s="1"/>
  <c r="B146" i="1"/>
  <c r="B140"/>
  <c r="B157" a="1"/>
  <c r="B159" a="1"/>
  <c r="F176"/>
  <c r="E176"/>
  <c r="I176" l="1"/>
  <c r="F157"/>
  <c r="B157"/>
  <c r="C157"/>
  <c r="D157"/>
  <c r="E157"/>
  <c r="B161"/>
  <c r="B162"/>
  <c r="B163"/>
  <c r="B159"/>
  <c r="B160"/>
  <c r="B165" l="1"/>
  <c r="B166" l="1"/>
  <c r="B170"/>
  <c r="B171" l="1"/>
  <c r="B172" s="1"/>
  <c r="B173" l="1"/>
  <c r="F172"/>
  <c r="B174"/>
  <c r="D25" i="2" s="1"/>
  <c r="G172" i="1"/>
  <c r="B193"/>
  <c r="B194" s="1"/>
  <c r="B178"/>
  <c r="B176" s="1"/>
  <c r="H172"/>
  <c r="D172"/>
  <c r="E172"/>
  <c r="C40" i="2"/>
  <c r="D7" s="1"/>
  <c r="C39"/>
  <c r="D6" s="1"/>
  <c r="C38"/>
  <c r="D5" s="1"/>
  <c r="C37"/>
  <c r="D4" s="1"/>
  <c r="B39"/>
  <c r="G6" s="1"/>
  <c r="B38"/>
  <c r="G5" s="1"/>
  <c r="D39"/>
  <c r="E6" s="1"/>
  <c r="D38"/>
  <c r="E5" s="1"/>
  <c r="D37"/>
  <c r="E4" s="1"/>
  <c r="E24"/>
  <c r="D24"/>
  <c r="E23"/>
  <c r="D23"/>
  <c r="E22"/>
  <c r="D22"/>
  <c r="G14" l="1"/>
  <c r="H14" s="1"/>
  <c r="E39"/>
  <c r="H6" s="1"/>
  <c r="E38"/>
  <c r="H5" s="1"/>
  <c r="E40"/>
  <c r="H7" s="1"/>
  <c r="B40"/>
  <c r="G7" s="1"/>
  <c r="B191" i="1"/>
  <c r="B183"/>
  <c r="B181"/>
  <c r="B177"/>
  <c r="B186"/>
  <c r="B188" s="1"/>
  <c r="I172"/>
  <c r="E35" i="2"/>
  <c r="D35"/>
  <c r="C35"/>
  <c r="B35"/>
  <c r="D34"/>
  <c r="C34"/>
  <c r="B34"/>
  <c r="C33"/>
  <c r="B33"/>
  <c r="F30"/>
  <c r="E30"/>
  <c r="D30"/>
  <c r="C30"/>
  <c r="B30"/>
  <c r="E29"/>
  <c r="D29"/>
  <c r="C29"/>
  <c r="B29"/>
  <c r="D28"/>
  <c r="C28"/>
  <c r="B28"/>
  <c r="C27"/>
  <c r="B27"/>
  <c r="C25"/>
  <c r="C7" s="1"/>
  <c r="C24"/>
  <c r="C6" s="1"/>
  <c r="C23"/>
  <c r="C5" s="1"/>
  <c r="C22"/>
  <c r="C4" s="1"/>
  <c r="B25"/>
  <c r="B7" s="1"/>
  <c r="B24"/>
  <c r="B6" s="1"/>
  <c r="B23"/>
  <c r="B5" s="1"/>
  <c r="B22"/>
  <c r="B4" s="1"/>
  <c r="B180" i="1" l="1"/>
  <c r="F40" i="2" s="1"/>
  <c r="F7" s="1"/>
  <c r="E25"/>
  <c r="D40"/>
  <c r="E7" s="1"/>
  <c r="J29" i="4" l="1"/>
</calcChain>
</file>

<file path=xl/sharedStrings.xml><?xml version="1.0" encoding="utf-8"?>
<sst xmlns="http://schemas.openxmlformats.org/spreadsheetml/2006/main" count="430" uniqueCount="267">
  <si>
    <t>Project value</t>
  </si>
  <si>
    <t xml:space="preserve">Stage 1 </t>
  </si>
  <si>
    <t>Input the correlations:</t>
  </si>
  <si>
    <t>V</t>
  </si>
  <si>
    <t>K1</t>
  </si>
  <si>
    <t>K2</t>
  </si>
  <si>
    <t>K3</t>
  </si>
  <si>
    <t>K4</t>
  </si>
  <si>
    <t>Stage 2</t>
  </si>
  <si>
    <t>Stage 3</t>
  </si>
  <si>
    <t>Stage 4</t>
  </si>
  <si>
    <t>Risk-free rate</t>
  </si>
  <si>
    <t>Threshold Levels</t>
  </si>
  <si>
    <t>K1^</t>
  </si>
  <si>
    <t>K2^</t>
  </si>
  <si>
    <t>K3^</t>
  </si>
  <si>
    <t>K4^</t>
  </si>
  <si>
    <t>Factor Levels</t>
  </si>
  <si>
    <t>Calculations</t>
  </si>
  <si>
    <t>Correlations Matrix:</t>
  </si>
  <si>
    <t>Volatility</t>
  </si>
  <si>
    <t>Variance-Covariance Matrix</t>
  </si>
  <si>
    <t>Analysis</t>
  </si>
  <si>
    <t>w</t>
  </si>
  <si>
    <t>column vector with 2 elements</t>
  </si>
  <si>
    <t>wT (w transpose)</t>
  </si>
  <si>
    <t>Var-Covar*w</t>
  </si>
  <si>
    <t>sigma^2_1=wT*Var-Covar*w</t>
  </si>
  <si>
    <t>vol_1</t>
  </si>
  <si>
    <t>theta_V - theta_K1</t>
  </si>
  <si>
    <t>r + Lamda_1 - theta_K1</t>
  </si>
  <si>
    <t>T1</t>
  </si>
  <si>
    <t>T2</t>
  </si>
  <si>
    <t>beta_1</t>
  </si>
  <si>
    <t>eta_11</t>
  </si>
  <si>
    <t>phi_1</t>
  </si>
  <si>
    <t>phi_1/(phi_1 - 1)</t>
  </si>
  <si>
    <t>V1^</t>
  </si>
  <si>
    <t>A1</t>
  </si>
  <si>
    <t>Mark-up Factor</t>
  </si>
  <si>
    <t>Option value (O-of-M)</t>
  </si>
  <si>
    <t>Option Value</t>
  </si>
  <si>
    <t>column vector with 3 elements</t>
  </si>
  <si>
    <t>wT</t>
  </si>
  <si>
    <t>sigma^2_2=wT*Var-Covar*w</t>
  </si>
  <si>
    <t>vol_2</t>
  </si>
  <si>
    <t>r + lambda_1 - theta_K2</t>
  </si>
  <si>
    <t>r + lambda_2 - theta_K2</t>
  </si>
  <si>
    <t>beta_2</t>
  </si>
  <si>
    <t>eta_12</t>
  </si>
  <si>
    <t>eta_22</t>
  </si>
  <si>
    <t>phi_2</t>
  </si>
  <si>
    <t>1-phi_2</t>
  </si>
  <si>
    <t>B2</t>
  </si>
  <si>
    <t>delta_02</t>
  </si>
  <si>
    <t>delta_12</t>
  </si>
  <si>
    <t>delta_22</t>
  </si>
  <si>
    <t>V2^</t>
  </si>
  <si>
    <t>A2</t>
  </si>
  <si>
    <t>Mark-up Factor_2</t>
  </si>
  <si>
    <t>Option value</t>
  </si>
  <si>
    <t>Alternative option value</t>
  </si>
  <si>
    <t>Check: V2^/K2^</t>
  </si>
  <si>
    <t>Stage 1 option value (O-M)</t>
  </si>
  <si>
    <t>Stage 2 option value__</t>
  </si>
  <si>
    <t>column vector with 4 elements</t>
  </si>
  <si>
    <t>sigma^2_3=wT*Var-Covar*w</t>
  </si>
  <si>
    <t>vol_3</t>
  </si>
  <si>
    <t>r + lambda_2 - theta_K3</t>
  </si>
  <si>
    <t>r + lambda_3 - theta_K3</t>
  </si>
  <si>
    <t>beta_3</t>
  </si>
  <si>
    <t>eta_13</t>
  </si>
  <si>
    <t>eta_23</t>
  </si>
  <si>
    <t>eta_33</t>
  </si>
  <si>
    <t>phi_3</t>
  </si>
  <si>
    <t>1-phi_3</t>
  </si>
  <si>
    <t>B3</t>
  </si>
  <si>
    <t>delta_03</t>
  </si>
  <si>
    <t>delta_13</t>
  </si>
  <si>
    <t>delta_23</t>
  </si>
  <si>
    <t>delta_33</t>
  </si>
  <si>
    <t>V3^</t>
  </si>
  <si>
    <t>A3</t>
  </si>
  <si>
    <t>Mark-up Factor_3</t>
  </si>
  <si>
    <t>Check</t>
  </si>
  <si>
    <t>Stage 2 option value (O-M)</t>
  </si>
  <si>
    <t>Stage 3 option value__</t>
  </si>
  <si>
    <t>column vector with 5 elements</t>
  </si>
  <si>
    <t>sigma^2_4=wT*Var-Covar*w</t>
  </si>
  <si>
    <t>vol_4</t>
  </si>
  <si>
    <t>r + lambda_3 - theta_K4</t>
  </si>
  <si>
    <t>r + lambda_4 - theta_K4</t>
  </si>
  <si>
    <t>beta_4</t>
  </si>
  <si>
    <t>eta_14</t>
  </si>
  <si>
    <t>eta_24</t>
  </si>
  <si>
    <t>eta_34</t>
  </si>
  <si>
    <t>eta_44</t>
  </si>
  <si>
    <t>phi_4</t>
  </si>
  <si>
    <t>1-phi_4</t>
  </si>
  <si>
    <t>B4</t>
  </si>
  <si>
    <t>delta_04</t>
  </si>
  <si>
    <t>delta_14</t>
  </si>
  <si>
    <t>delta_24</t>
  </si>
  <si>
    <t>delta_34</t>
  </si>
  <si>
    <t>delta_44</t>
  </si>
  <si>
    <t>V4^</t>
  </si>
  <si>
    <t>A4</t>
  </si>
  <si>
    <t>Mark-up Factor_4</t>
  </si>
  <si>
    <t>Stage 3 option value (O-M)</t>
  </si>
  <si>
    <t>Stage 4 option value</t>
  </si>
  <si>
    <t>Stage 4 option value__</t>
  </si>
  <si>
    <t>Check: V2^/V1^</t>
  </si>
  <si>
    <t>V2^/V1^</t>
  </si>
  <si>
    <t>Factor</t>
  </si>
  <si>
    <t>RHS</t>
  </si>
  <si>
    <t>Check: V3^/V2^</t>
  </si>
  <si>
    <t>V3^/V2^</t>
  </si>
  <si>
    <t>Check: V4^/V3^</t>
  </si>
  <si>
    <t>V4^/V3^</t>
  </si>
  <si>
    <t>Stage</t>
  </si>
  <si>
    <t>phi</t>
  </si>
  <si>
    <t>beta</t>
  </si>
  <si>
    <t>B</t>
  </si>
  <si>
    <t>A</t>
  </si>
  <si>
    <t>LB</t>
  </si>
  <si>
    <t>V^</t>
  </si>
  <si>
    <t>K^</t>
  </si>
  <si>
    <t>INPUT</t>
  </si>
  <si>
    <t>nyta1</t>
  </si>
  <si>
    <t>nyta2</t>
  </si>
  <si>
    <t>nyta3</t>
  </si>
  <si>
    <t>nyta4</t>
  </si>
  <si>
    <t>delta1</t>
  </si>
  <si>
    <t>delta2</t>
  </si>
  <si>
    <t>delta3</t>
  </si>
  <si>
    <t>delta4</t>
  </si>
  <si>
    <t>K (J-1)/K(J)</t>
  </si>
  <si>
    <t>SUM</t>
  </si>
  <si>
    <t>OUTPUT</t>
  </si>
  <si>
    <t xml:space="preserve">TABLE 2 </t>
  </si>
  <si>
    <t>ROV</t>
  </si>
  <si>
    <t>f</t>
  </si>
  <si>
    <t xml:space="preserve"> </t>
  </si>
  <si>
    <t>B64*(E18^D60)*(E19^E60)</t>
  </si>
  <si>
    <t>IF(E18&lt;B63,B66,E18-E19)</t>
  </si>
  <si>
    <t>IF(E18&lt;B91,B95,B100-E20)</t>
  </si>
  <si>
    <t>TABLE 1</t>
  </si>
  <si>
    <t>B87*(B60-1)/(B87-1)</t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</si>
  <si>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_V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</si>
  <si>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_V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</si>
  <si>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_K1</t>
    </r>
  </si>
  <si>
    <r>
      <t xml:space="preserve">Failure probability: </t>
    </r>
    <r>
      <rPr>
        <sz val="11"/>
        <color theme="1"/>
        <rFont val="Symbol"/>
        <family val="1"/>
        <charset val="2"/>
      </rPr>
      <t>l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</si>
  <si>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_K1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</si>
  <si>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_K4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</si>
  <si>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_K4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</si>
  <si>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_K3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</si>
  <si>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_K3</t>
    </r>
  </si>
  <si>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_K2</t>
    </r>
  </si>
  <si>
    <r>
      <rPr>
        <sz val="11"/>
        <color theme="1"/>
        <rFont val="Symbol"/>
        <family val="1"/>
        <charset val="2"/>
      </rPr>
      <t>q</t>
    </r>
    <r>
      <rPr>
        <sz val="11"/>
        <color theme="1"/>
        <rFont val="Calibri"/>
        <family val="2"/>
        <scheme val="minor"/>
      </rPr>
      <t>_K2</t>
    </r>
  </si>
  <si>
    <t>StemCells Inc. Consolidated Income Statement ($ 000)</t>
  </si>
  <si>
    <t>2013E</t>
  </si>
  <si>
    <t>2014E</t>
  </si>
  <si>
    <t>2015E</t>
  </si>
  <si>
    <t>2016E</t>
  </si>
  <si>
    <t>2017E</t>
  </si>
  <si>
    <t>Sales</t>
  </si>
  <si>
    <t>*</t>
  </si>
  <si>
    <t>HuCNS-SC PMD US</t>
  </si>
  <si>
    <t>HuCNS-SC PMD ROW</t>
  </si>
  <si>
    <t>HuCNS-SC Spinal Cord ROW</t>
  </si>
  <si>
    <t>HuCNS-SC AMD US</t>
  </si>
  <si>
    <t>HuCNS-SC AMD ROW</t>
  </si>
  <si>
    <t>Other</t>
  </si>
  <si>
    <t>Total Sales</t>
  </si>
  <si>
    <t>Cost of Sales</t>
  </si>
  <si>
    <t>Gross Profit</t>
  </si>
  <si>
    <t>R&amp;D</t>
  </si>
  <si>
    <t>G&amp;A&amp; Other</t>
  </si>
  <si>
    <t>Total Expenses</t>
  </si>
  <si>
    <t>Operating Income</t>
  </si>
  <si>
    <t>Other Income</t>
  </si>
  <si>
    <t>Net Income</t>
  </si>
  <si>
    <t>Shares Outstanding</t>
  </si>
  <si>
    <t>EPS</t>
  </si>
  <si>
    <t>Balance Sheet 3/31/13</t>
  </si>
  <si>
    <t xml:space="preserve">Current </t>
  </si>
  <si>
    <t>Price</t>
  </si>
  <si>
    <t>Assets</t>
  </si>
  <si>
    <t>Current</t>
  </si>
  <si>
    <t>Number</t>
  </si>
  <si>
    <t>PE</t>
  </si>
  <si>
    <t>PPE</t>
  </si>
  <si>
    <t>Discount</t>
  </si>
  <si>
    <t>Intangibles</t>
  </si>
  <si>
    <t xml:space="preserve">Target </t>
  </si>
  <si>
    <t>Total Assets</t>
  </si>
  <si>
    <t>Target</t>
  </si>
  <si>
    <t xml:space="preserve">Market </t>
  </si>
  <si>
    <t>Cap</t>
  </si>
  <si>
    <t xml:space="preserve">Liabilities </t>
  </si>
  <si>
    <t>Equity</t>
  </si>
  <si>
    <t>Total Liabilities &amp; Equity</t>
  </si>
  <si>
    <t>NAV Per Share</t>
  </si>
  <si>
    <t>SUM K</t>
  </si>
  <si>
    <t>Interpretation:</t>
  </si>
  <si>
    <t>Overall project volatility declines as the stages near completion, but both the</t>
  </si>
  <si>
    <t>threshold V and the ROV increase nearer completion.</t>
  </si>
  <si>
    <t>In sensitivity analysis, try some relaxation of the strict assumptions, such</t>
  </si>
  <si>
    <t>along with different probabilities of failure for different applications.</t>
  </si>
  <si>
    <t>Different project value volatilities produce different thresholds and ROVs.</t>
  </si>
  <si>
    <t>Note ROV is driven by the  high value V volatility proxy.</t>
  </si>
  <si>
    <t>as different value and cost volatilities and correlations for different applications,</t>
  </si>
  <si>
    <t>J24*J23*J25</t>
  </si>
  <si>
    <t>J19*J26</t>
  </si>
  <si>
    <t>J19*J22</t>
  </si>
  <si>
    <t>Output!$F$7</t>
  </si>
  <si>
    <t>B29/J19</t>
  </si>
  <si>
    <t>PMD US</t>
  </si>
  <si>
    <t>SC</t>
  </si>
  <si>
    <t>Adopt Rate</t>
  </si>
  <si>
    <t>Market US</t>
  </si>
  <si>
    <t>Risk (DP)</t>
  </si>
  <si>
    <t>AMD</t>
  </si>
  <si>
    <t>P*Q ??</t>
  </si>
  <si>
    <t>???</t>
  </si>
  <si>
    <t>DP ??</t>
  </si>
  <si>
    <t>Stephen Dunn Assumptions</t>
  </si>
  <si>
    <t>No change over 4 reports for sales projections (number potential patients, adoption rate, pricing)</t>
  </si>
  <si>
    <t>EPS*PE*Dis</t>
  </si>
  <si>
    <t>ROV + NAV</t>
  </si>
  <si>
    <t>APRIL 2016 PROJECTIONS OF NPV</t>
  </si>
  <si>
    <t>SCI US</t>
  </si>
  <si>
    <t>SCI EU</t>
  </si>
  <si>
    <t>Penetration</t>
  </si>
  <si>
    <t>Profit</t>
  </si>
  <si>
    <t>NPV</t>
  </si>
  <si>
    <t>Royal Rate</t>
  </si>
  <si>
    <t>Total NPV</t>
  </si>
  <si>
    <t>Total NPV I</t>
  </si>
  <si>
    <t>K</t>
  </si>
  <si>
    <t>Sum K</t>
  </si>
  <si>
    <t>K Not Discounted</t>
  </si>
  <si>
    <t>Edison</t>
  </si>
  <si>
    <t>Failure</t>
  </si>
  <si>
    <t>V-SUM K</t>
  </si>
  <si>
    <t>SOME ASSUMPTIONS</t>
  </si>
  <si>
    <t>This consistency is manipulated by changing:</t>
  </si>
  <si>
    <t>The number of years past 2016 that are considered.</t>
  </si>
  <si>
    <t>No deduction for operating expenses in SCI.</t>
  </si>
  <si>
    <t>The initial and growth of the  penetration rates to maximum in 2016, assumed constant after 2016.</t>
  </si>
  <si>
    <t>Other combinations could also be consistent with Edison, but perhaps Edison is optimistic or not accurate.</t>
  </si>
  <si>
    <t>Only one dose ever for each annual incidence is assumed.</t>
  </si>
  <si>
    <t>Of course, Edison will have more detailed spreadsheets.</t>
  </si>
  <si>
    <t>The series of Ks, partly to arrive at the NPV and also so the LB are not violated.</t>
  </si>
  <si>
    <t>GROSS NPV=V</t>
  </si>
  <si>
    <t>V-K</t>
  </si>
  <si>
    <t>Goal is that these results are approximately consistent with most of the ten Edison assumptions for the SCI calculations.</t>
  </si>
  <si>
    <t>Some are not, Edison indicated in green.</t>
  </si>
  <si>
    <t>For SCI the Ks are concentrated in the first four years.</t>
  </si>
  <si>
    <t xml:space="preserve">Probability of success is that of SCI as in Edison.  </t>
  </si>
  <si>
    <t>All of the R&amp;D expenses are deducted against the US sales.</t>
  </si>
  <si>
    <t xml:space="preserve">The real option value of AMD has not been considered, due to possibly completely arbitrary assumptions on Ks. </t>
  </si>
  <si>
    <t>rNPV + NAV</t>
  </si>
  <si>
    <t>The accounts have not been updated to Dec 2015, nor have the forecast results for 2016  &amp; 2017.</t>
  </si>
  <si>
    <t xml:space="preserve">Immediate investment at the initial stage 4 is not currently justified.  </t>
  </si>
  <si>
    <t>Current ROV exceeds the net present value (V-sum K=53 m) approach for these parameter values.</t>
  </si>
  <si>
    <t xml:space="preserve">Lower boundary (LB) not violated in any stages .  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</si>
</sst>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164" formatCode="0.00000"/>
    <numFmt numFmtId="165" formatCode="0.0000"/>
    <numFmt numFmtId="166" formatCode="0.000"/>
    <numFmt numFmtId="167" formatCode="&quot;$&quot;#,##0.00"/>
    <numFmt numFmtId="168" formatCode="&quot;$&quot;#,##0"/>
    <numFmt numFmtId="171" formatCode="0.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1" xfId="0" applyBorder="1"/>
    <xf numFmtId="0" fontId="7" fillId="0" borderId="1" xfId="0" applyFont="1" applyBorder="1" applyAlignment="1">
      <alignment horizontal="center"/>
    </xf>
    <xf numFmtId="3" fontId="0" fillId="0" borderId="1" xfId="0" applyNumberFormat="1" applyBorder="1"/>
    <xf numFmtId="167" fontId="0" fillId="0" borderId="1" xfId="0" applyNumberFormat="1" applyBorder="1"/>
    <xf numFmtId="8" fontId="0" fillId="0" borderId="1" xfId="0" applyNumberFormat="1" applyBorder="1"/>
    <xf numFmtId="168" fontId="0" fillId="0" borderId="1" xfId="0" applyNumberFormat="1" applyBorder="1"/>
    <xf numFmtId="168" fontId="1" fillId="0" borderId="1" xfId="0" applyNumberFormat="1" applyFont="1" applyBorder="1"/>
    <xf numFmtId="3" fontId="0" fillId="0" borderId="0" xfId="0" applyNumberFormat="1"/>
    <xf numFmtId="3" fontId="3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2" fontId="0" fillId="0" borderId="0" xfId="0" applyNumberFormat="1"/>
    <xf numFmtId="0" fontId="0" fillId="0" borderId="2" xfId="0" applyBorder="1"/>
    <xf numFmtId="0" fontId="0" fillId="0" borderId="3" xfId="0" applyBorder="1"/>
    <xf numFmtId="17" fontId="1" fillId="0" borderId="0" xfId="0" applyNumberFormat="1" applyFont="1" applyAlignment="1">
      <alignment horizontal="centerContinuous"/>
    </xf>
    <xf numFmtId="0" fontId="0" fillId="0" borderId="4" xfId="0" applyBorder="1"/>
    <xf numFmtId="0" fontId="0" fillId="0" borderId="1" xfId="0" applyFill="1" applyBorder="1"/>
    <xf numFmtId="3" fontId="0" fillId="0" borderId="1" xfId="0" applyNumberFormat="1" applyFill="1" applyBorder="1"/>
    <xf numFmtId="0" fontId="8" fillId="0" borderId="1" xfId="0" applyFont="1" applyFill="1" applyBorder="1"/>
    <xf numFmtId="14" fontId="0" fillId="0" borderId="0" xfId="0" applyNumberFormat="1"/>
    <xf numFmtId="8" fontId="0" fillId="0" borderId="0" xfId="0" applyNumberFormat="1"/>
    <xf numFmtId="167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168" fontId="0" fillId="0" borderId="0" xfId="0" applyNumberFormat="1"/>
    <xf numFmtId="168" fontId="1" fillId="0" borderId="0" xfId="0" applyNumberFormat="1" applyFont="1"/>
    <xf numFmtId="6" fontId="0" fillId="0" borderId="0" xfId="0" applyNumberForma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/>
    <xf numFmtId="17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workbookViewId="0"/>
  </sheetViews>
  <sheetFormatPr defaultRowHeight="15"/>
  <cols>
    <col min="1" max="1" width="18.42578125" bestFit="1" customWidth="1"/>
    <col min="15" max="15" width="10.140625" bestFit="1" customWidth="1"/>
    <col min="16" max="16" width="10.85546875" bestFit="1" customWidth="1"/>
    <col min="17" max="17" width="10" bestFit="1" customWidth="1"/>
  </cols>
  <sheetData>
    <row r="1" spans="1:10">
      <c r="A1" s="16" t="s">
        <v>159</v>
      </c>
      <c r="B1" s="16"/>
      <c r="C1" s="16"/>
      <c r="D1" s="16"/>
      <c r="E1" s="16"/>
      <c r="F1" s="16"/>
      <c r="G1" s="16"/>
      <c r="H1" s="16"/>
      <c r="I1" s="36">
        <v>41487</v>
      </c>
      <c r="J1" s="16"/>
    </row>
    <row r="2" spans="1:10">
      <c r="A2" s="17"/>
      <c r="B2" s="12">
        <v>2009</v>
      </c>
      <c r="C2" s="12">
        <v>2010</v>
      </c>
      <c r="D2" s="12">
        <v>2011</v>
      </c>
      <c r="E2" s="12">
        <v>2012</v>
      </c>
      <c r="F2" s="12" t="s">
        <v>160</v>
      </c>
      <c r="G2" s="12" t="s">
        <v>161</v>
      </c>
      <c r="H2" s="12" t="s">
        <v>162</v>
      </c>
      <c r="I2" s="12" t="s">
        <v>163</v>
      </c>
      <c r="J2" s="12" t="s">
        <v>164</v>
      </c>
    </row>
    <row r="3" spans="1:10" ht="15.75">
      <c r="A3" s="17" t="s">
        <v>165</v>
      </c>
      <c r="B3" s="17"/>
      <c r="C3" s="17"/>
      <c r="D3" s="17"/>
      <c r="E3" s="17"/>
      <c r="F3" s="17"/>
      <c r="G3" s="17"/>
      <c r="H3" s="17"/>
      <c r="I3" s="17"/>
      <c r="J3" s="18" t="s">
        <v>166</v>
      </c>
    </row>
    <row r="4" spans="1:10">
      <c r="A4" s="17" t="s">
        <v>167</v>
      </c>
      <c r="B4" s="19"/>
      <c r="C4" s="19"/>
      <c r="D4" s="19"/>
      <c r="E4" s="19"/>
      <c r="F4" s="19"/>
      <c r="G4" s="19"/>
      <c r="H4" s="19"/>
      <c r="I4" s="19">
        <v>11310</v>
      </c>
      <c r="J4" s="19">
        <v>33930</v>
      </c>
    </row>
    <row r="5" spans="1:10">
      <c r="A5" s="17" t="s">
        <v>168</v>
      </c>
      <c r="B5" s="19"/>
      <c r="C5" s="19"/>
      <c r="D5" s="19"/>
      <c r="E5" s="19"/>
      <c r="F5" s="19"/>
      <c r="G5" s="19"/>
      <c r="H5" s="19"/>
      <c r="I5" s="19">
        <v>11310</v>
      </c>
      <c r="J5" s="19">
        <v>33930</v>
      </c>
    </row>
    <row r="6" spans="1:10">
      <c r="A6" s="17" t="s">
        <v>169</v>
      </c>
      <c r="B6" s="19"/>
      <c r="C6" s="19"/>
      <c r="D6" s="19"/>
      <c r="E6" s="19"/>
      <c r="F6" s="19"/>
      <c r="G6" s="19"/>
      <c r="H6" s="19"/>
      <c r="I6" s="19">
        <v>3750</v>
      </c>
      <c r="J6" s="19">
        <v>15000</v>
      </c>
    </row>
    <row r="7" spans="1:10">
      <c r="A7" s="17" t="s">
        <v>170</v>
      </c>
      <c r="B7" s="19"/>
      <c r="C7" s="19"/>
      <c r="D7" s="19"/>
      <c r="E7" s="19"/>
      <c r="F7" s="19"/>
      <c r="G7" s="19"/>
      <c r="H7" s="19"/>
      <c r="I7" s="19"/>
      <c r="J7" s="19">
        <v>18000</v>
      </c>
    </row>
    <row r="8" spans="1:10">
      <c r="A8" s="17" t="s">
        <v>171</v>
      </c>
      <c r="B8" s="19"/>
      <c r="C8" s="19"/>
      <c r="D8" s="19"/>
      <c r="E8" s="19"/>
      <c r="F8" s="19"/>
      <c r="G8" s="19"/>
      <c r="H8" s="19"/>
      <c r="I8" s="19"/>
      <c r="J8" s="19">
        <v>3000</v>
      </c>
    </row>
    <row r="9" spans="1:10">
      <c r="A9" s="17" t="s">
        <v>172</v>
      </c>
      <c r="B9" s="19">
        <v>994</v>
      </c>
      <c r="C9" s="19">
        <v>1418</v>
      </c>
      <c r="D9" s="19">
        <v>1221</v>
      </c>
      <c r="E9" s="19">
        <v>1368</v>
      </c>
      <c r="F9" s="19">
        <v>1042</v>
      </c>
      <c r="G9" s="19">
        <v>1216</v>
      </c>
      <c r="H9" s="19">
        <v>1668</v>
      </c>
      <c r="I9" s="19">
        <v>3285</v>
      </c>
      <c r="J9" s="19">
        <v>4413</v>
      </c>
    </row>
    <row r="10" spans="1:10">
      <c r="A10" s="17" t="s">
        <v>173</v>
      </c>
      <c r="B10" s="19">
        <f>SUM(B3:B9)</f>
        <v>994</v>
      </c>
      <c r="C10" s="19">
        <f t="shared" ref="C10:J10" si="0">SUM(C3:C9)</f>
        <v>1418</v>
      </c>
      <c r="D10" s="19">
        <f t="shared" si="0"/>
        <v>1221</v>
      </c>
      <c r="E10" s="19">
        <f t="shared" si="0"/>
        <v>1368</v>
      </c>
      <c r="F10" s="19">
        <f t="shared" si="0"/>
        <v>1042</v>
      </c>
      <c r="G10" s="19">
        <f t="shared" si="0"/>
        <v>1216</v>
      </c>
      <c r="H10" s="19">
        <f t="shared" si="0"/>
        <v>1668</v>
      </c>
      <c r="I10" s="19">
        <f t="shared" si="0"/>
        <v>29655</v>
      </c>
      <c r="J10" s="19">
        <f t="shared" si="0"/>
        <v>108273</v>
      </c>
    </row>
    <row r="11" spans="1:10">
      <c r="A11" s="17" t="s">
        <v>174</v>
      </c>
      <c r="B11" s="19">
        <v>261</v>
      </c>
      <c r="C11" s="19">
        <v>168</v>
      </c>
      <c r="D11" s="19">
        <v>215</v>
      </c>
      <c r="E11" s="19">
        <v>263</v>
      </c>
      <c r="F11" s="19">
        <v>258</v>
      </c>
      <c r="G11" s="19">
        <v>305</v>
      </c>
      <c r="H11" s="19">
        <v>350</v>
      </c>
      <c r="I11" s="19">
        <v>4341</v>
      </c>
      <c r="J11" s="19">
        <v>10810</v>
      </c>
    </row>
    <row r="12" spans="1:10">
      <c r="A12" s="17" t="s">
        <v>175</v>
      </c>
      <c r="B12" s="19">
        <f>B10-B11</f>
        <v>733</v>
      </c>
      <c r="C12" s="19">
        <f t="shared" ref="C12:J12" si="1">C10-C11</f>
        <v>1250</v>
      </c>
      <c r="D12" s="19">
        <f t="shared" si="1"/>
        <v>1006</v>
      </c>
      <c r="E12" s="19">
        <f t="shared" si="1"/>
        <v>1105</v>
      </c>
      <c r="F12" s="19">
        <f t="shared" si="1"/>
        <v>784</v>
      </c>
      <c r="G12" s="19">
        <f t="shared" si="1"/>
        <v>911</v>
      </c>
      <c r="H12" s="19">
        <f t="shared" si="1"/>
        <v>1318</v>
      </c>
      <c r="I12" s="19">
        <f t="shared" si="1"/>
        <v>25314</v>
      </c>
      <c r="J12" s="19">
        <f t="shared" si="1"/>
        <v>97463</v>
      </c>
    </row>
    <row r="13" spans="1:10">
      <c r="A13" s="17" t="s">
        <v>176</v>
      </c>
      <c r="B13" s="19">
        <v>19931</v>
      </c>
      <c r="C13" s="19">
        <v>21020</v>
      </c>
      <c r="D13" s="19">
        <v>19938</v>
      </c>
      <c r="E13" s="19">
        <v>15847</v>
      </c>
      <c r="F13" s="19">
        <v>19671</v>
      </c>
      <c r="G13" s="19">
        <v>19868</v>
      </c>
      <c r="H13" s="19">
        <v>20067</v>
      </c>
      <c r="I13" s="19">
        <v>20267</v>
      </c>
      <c r="J13" s="19">
        <v>20470</v>
      </c>
    </row>
    <row r="14" spans="1:10">
      <c r="A14" s="17" t="s">
        <v>177</v>
      </c>
      <c r="B14" s="19">
        <f>B15-B13</f>
        <v>10180</v>
      </c>
      <c r="C14" s="19">
        <f t="shared" ref="C14:J14" si="2">C15-C13</f>
        <v>9599</v>
      </c>
      <c r="D14" s="19">
        <f t="shared" si="2"/>
        <v>9144</v>
      </c>
      <c r="E14" s="19">
        <f t="shared" si="2"/>
        <v>7804</v>
      </c>
      <c r="F14" s="19">
        <f t="shared" si="2"/>
        <v>8476</v>
      </c>
      <c r="G14" s="19">
        <f t="shared" si="2"/>
        <v>8569</v>
      </c>
      <c r="H14" s="19">
        <f t="shared" si="2"/>
        <v>8651</v>
      </c>
      <c r="I14" s="19">
        <f t="shared" si="2"/>
        <v>8385</v>
      </c>
      <c r="J14" s="19">
        <f t="shared" si="2"/>
        <v>8468</v>
      </c>
    </row>
    <row r="15" spans="1:10">
      <c r="A15" s="17" t="s">
        <v>178</v>
      </c>
      <c r="B15" s="19">
        <v>30111</v>
      </c>
      <c r="C15" s="19">
        <v>30619</v>
      </c>
      <c r="D15" s="19">
        <v>29082</v>
      </c>
      <c r="E15" s="19">
        <v>23651</v>
      </c>
      <c r="F15" s="19">
        <v>28147</v>
      </c>
      <c r="G15" s="19">
        <v>28437</v>
      </c>
      <c r="H15" s="19">
        <v>28718</v>
      </c>
      <c r="I15" s="19">
        <v>28652</v>
      </c>
      <c r="J15" s="19">
        <v>28938</v>
      </c>
    </row>
    <row r="16" spans="1:10">
      <c r="A16" s="17" t="s">
        <v>179</v>
      </c>
      <c r="B16" s="19">
        <f>B12-B13-B14</f>
        <v>-29378</v>
      </c>
      <c r="C16" s="19">
        <f t="shared" ref="C16:J16" si="3">C12-C13-C14</f>
        <v>-29369</v>
      </c>
      <c r="D16" s="19">
        <f t="shared" si="3"/>
        <v>-28076</v>
      </c>
      <c r="E16" s="19">
        <f t="shared" si="3"/>
        <v>-22546</v>
      </c>
      <c r="F16" s="19">
        <f t="shared" si="3"/>
        <v>-27363</v>
      </c>
      <c r="G16" s="19">
        <f t="shared" si="3"/>
        <v>-27526</v>
      </c>
      <c r="H16" s="19">
        <f t="shared" si="3"/>
        <v>-27400</v>
      </c>
      <c r="I16" s="19">
        <f t="shared" si="3"/>
        <v>-3338</v>
      </c>
      <c r="J16" s="19">
        <f t="shared" si="3"/>
        <v>68525</v>
      </c>
    </row>
    <row r="17" spans="1:11">
      <c r="A17" s="17" t="s">
        <v>180</v>
      </c>
      <c r="B17" s="19">
        <v>2352</v>
      </c>
      <c r="C17" s="19">
        <v>4116</v>
      </c>
      <c r="D17" s="19">
        <v>6748</v>
      </c>
      <c r="E17" s="19">
        <v>-5945</v>
      </c>
      <c r="F17" s="19">
        <v>-1627</v>
      </c>
      <c r="G17" s="19">
        <v>-1077</v>
      </c>
      <c r="H17" s="19">
        <v>-1077</v>
      </c>
      <c r="I17" s="19">
        <v>2153</v>
      </c>
      <c r="J17" s="19">
        <v>2153</v>
      </c>
    </row>
    <row r="18" spans="1:11">
      <c r="A18" s="17" t="s">
        <v>181</v>
      </c>
      <c r="B18" s="19">
        <f>B16+B17</f>
        <v>-27026</v>
      </c>
      <c r="C18" s="19">
        <f t="shared" ref="C18:J18" si="4">C16+C17</f>
        <v>-25253</v>
      </c>
      <c r="D18" s="19">
        <f t="shared" si="4"/>
        <v>-21328</v>
      </c>
      <c r="E18" s="19">
        <f t="shared" si="4"/>
        <v>-28491</v>
      </c>
      <c r="F18" s="19">
        <f t="shared" si="4"/>
        <v>-28990</v>
      </c>
      <c r="G18" s="19">
        <f t="shared" si="4"/>
        <v>-28603</v>
      </c>
      <c r="H18" s="19">
        <f t="shared" si="4"/>
        <v>-28477</v>
      </c>
      <c r="I18" s="19">
        <f t="shared" si="4"/>
        <v>-1185</v>
      </c>
      <c r="J18" s="19">
        <f t="shared" si="4"/>
        <v>70678</v>
      </c>
    </row>
    <row r="19" spans="1:11">
      <c r="A19" s="17" t="s">
        <v>182</v>
      </c>
      <c r="B19" s="19">
        <v>10606</v>
      </c>
      <c r="C19" s="19">
        <v>12330</v>
      </c>
      <c r="D19" s="19">
        <v>14188</v>
      </c>
      <c r="E19" s="19">
        <v>28824</v>
      </c>
      <c r="F19" s="19">
        <v>46729</v>
      </c>
      <c r="G19" s="19">
        <v>66291</v>
      </c>
      <c r="H19" s="19">
        <v>72920</v>
      </c>
      <c r="I19" s="19">
        <v>80212</v>
      </c>
      <c r="J19" s="19">
        <v>88233</v>
      </c>
    </row>
    <row r="20" spans="1:11">
      <c r="A20" s="17" t="s">
        <v>183</v>
      </c>
      <c r="B20" s="20">
        <f>B18/B19</f>
        <v>-2.5481802753158589</v>
      </c>
      <c r="C20" s="20">
        <f t="shared" ref="C20:J20" si="5">C18/C19</f>
        <v>-2.0480940794809408</v>
      </c>
      <c r="D20" s="20">
        <f t="shared" si="5"/>
        <v>-1.5032421764871722</v>
      </c>
      <c r="E20" s="20">
        <f t="shared" si="5"/>
        <v>-0.98844712739383844</v>
      </c>
      <c r="F20" s="20">
        <f t="shared" si="5"/>
        <v>-0.62038562776862338</v>
      </c>
      <c r="G20" s="20">
        <f t="shared" si="5"/>
        <v>-0.4314763693412379</v>
      </c>
      <c r="H20" s="20">
        <f t="shared" si="5"/>
        <v>-0.39052386176631926</v>
      </c>
      <c r="I20" s="20">
        <f t="shared" si="5"/>
        <v>-1.4773350620854735E-2</v>
      </c>
      <c r="J20" s="20">
        <f t="shared" si="5"/>
        <v>0.80103816032550179</v>
      </c>
    </row>
    <row r="21" spans="1:11">
      <c r="A21" s="17"/>
      <c r="B21" s="17"/>
      <c r="C21" s="17"/>
      <c r="D21" s="17"/>
      <c r="E21" s="17"/>
      <c r="F21" s="17" t="s">
        <v>142</v>
      </c>
      <c r="G21" s="17"/>
      <c r="H21" s="17"/>
      <c r="I21" s="17"/>
      <c r="J21" s="17"/>
    </row>
    <row r="22" spans="1:11">
      <c r="A22" s="17" t="s">
        <v>184</v>
      </c>
      <c r="B22" s="17"/>
      <c r="C22" s="17"/>
      <c r="D22" s="17"/>
      <c r="E22" s="17"/>
      <c r="F22" s="17" t="s">
        <v>142</v>
      </c>
      <c r="G22" s="17"/>
      <c r="H22" s="17" t="s">
        <v>185</v>
      </c>
      <c r="I22" s="17" t="s">
        <v>186</v>
      </c>
      <c r="J22" s="21">
        <v>1.5</v>
      </c>
    </row>
    <row r="23" spans="1:11">
      <c r="A23" s="17" t="s">
        <v>187</v>
      </c>
      <c r="B23" s="17"/>
      <c r="C23" s="17"/>
      <c r="D23" s="17" t="s">
        <v>142</v>
      </c>
      <c r="E23" s="17" t="s">
        <v>142</v>
      </c>
      <c r="F23" s="17"/>
      <c r="G23" s="17"/>
      <c r="H23" s="17"/>
      <c r="I23" s="17" t="s">
        <v>183</v>
      </c>
      <c r="J23" s="20">
        <f>J20</f>
        <v>0.80103816032550179</v>
      </c>
    </row>
    <row r="24" spans="1:11">
      <c r="A24" s="17" t="s">
        <v>188</v>
      </c>
      <c r="B24" s="17">
        <v>18614</v>
      </c>
      <c r="C24" s="17"/>
      <c r="D24" s="12" t="s">
        <v>142</v>
      </c>
      <c r="E24" s="12" t="s">
        <v>142</v>
      </c>
      <c r="F24" s="17"/>
      <c r="G24" s="17"/>
      <c r="H24" s="17"/>
      <c r="I24" s="17" t="s">
        <v>190</v>
      </c>
      <c r="J24" s="17">
        <v>35</v>
      </c>
    </row>
    <row r="25" spans="1:11">
      <c r="A25" s="17" t="s">
        <v>191</v>
      </c>
      <c r="B25" s="17">
        <v>1520</v>
      </c>
      <c r="C25" s="17"/>
      <c r="D25" s="17" t="s">
        <v>142</v>
      </c>
      <c r="E25" s="22" t="s">
        <v>142</v>
      </c>
      <c r="F25" s="17"/>
      <c r="G25" s="17"/>
      <c r="H25" s="17"/>
      <c r="I25" s="17" t="s">
        <v>192</v>
      </c>
      <c r="J25" s="17">
        <v>0.1605</v>
      </c>
      <c r="K25" t="s">
        <v>225</v>
      </c>
    </row>
    <row r="26" spans="1:11">
      <c r="A26" s="17" t="s">
        <v>193</v>
      </c>
      <c r="B26" s="17">
        <v>4630</v>
      </c>
      <c r="C26" s="17"/>
      <c r="D26" s="34" t="s">
        <v>142</v>
      </c>
      <c r="E26" s="35" t="s">
        <v>142</v>
      </c>
      <c r="F26" s="17"/>
      <c r="G26" s="17"/>
      <c r="H26" s="17" t="s">
        <v>194</v>
      </c>
      <c r="I26" s="17" t="s">
        <v>186</v>
      </c>
      <c r="J26" s="20">
        <f>J24*J23*J25</f>
        <v>4.4998318656285061</v>
      </c>
      <c r="K26" s="20" t="s">
        <v>212</v>
      </c>
    </row>
    <row r="27" spans="1:11">
      <c r="A27" s="17" t="s">
        <v>195</v>
      </c>
      <c r="B27" s="17">
        <f>SUM(B24:B26)</f>
        <v>24764</v>
      </c>
      <c r="C27" s="17"/>
      <c r="D27" s="17" t="s">
        <v>142</v>
      </c>
      <c r="E27" s="22" t="s">
        <v>142</v>
      </c>
      <c r="F27" s="17"/>
      <c r="G27" s="17" t="s">
        <v>196</v>
      </c>
      <c r="H27" s="17" t="s">
        <v>197</v>
      </c>
      <c r="I27" s="17" t="s">
        <v>198</v>
      </c>
      <c r="J27" s="23">
        <f>J19*J26</f>
        <v>397033.66499999998</v>
      </c>
      <c r="K27" s="23" t="s">
        <v>213</v>
      </c>
    </row>
    <row r="28" spans="1:11">
      <c r="A28" s="17" t="s">
        <v>199</v>
      </c>
      <c r="B28" s="17">
        <f>B30-B29</f>
        <v>14556</v>
      </c>
      <c r="C28" s="17"/>
      <c r="D28" s="17"/>
      <c r="E28" s="17"/>
      <c r="F28" s="17"/>
      <c r="G28" s="17" t="s">
        <v>188</v>
      </c>
      <c r="H28" s="17" t="s">
        <v>197</v>
      </c>
      <c r="I28" s="17" t="s">
        <v>198</v>
      </c>
      <c r="J28" s="23">
        <f>J19*J22</f>
        <v>132349.5</v>
      </c>
      <c r="K28" s="23" t="s">
        <v>214</v>
      </c>
    </row>
    <row r="29" spans="1:11">
      <c r="A29" s="17" t="s">
        <v>200</v>
      </c>
      <c r="B29" s="23">
        <v>10208</v>
      </c>
      <c r="C29" s="17"/>
      <c r="D29" s="17"/>
      <c r="E29" s="17"/>
      <c r="F29" s="17"/>
      <c r="G29" s="17" t="s">
        <v>188</v>
      </c>
      <c r="H29" s="17" t="s">
        <v>140</v>
      </c>
      <c r="I29" s="17"/>
      <c r="J29" s="23">
        <f>Output!$F$7</f>
        <v>80057031.37190783</v>
      </c>
      <c r="K29" s="23" t="s">
        <v>215</v>
      </c>
    </row>
    <row r="30" spans="1:11">
      <c r="A30" s="17" t="s">
        <v>201</v>
      </c>
      <c r="B30" s="17">
        <f>B27</f>
        <v>24764</v>
      </c>
      <c r="C30" s="17"/>
      <c r="D30" s="17"/>
      <c r="E30" s="17"/>
      <c r="F30" s="17"/>
      <c r="G30" s="17"/>
      <c r="H30" s="17" t="s">
        <v>202</v>
      </c>
      <c r="I30" s="17"/>
      <c r="J30" s="20">
        <f>B29/J19</f>
        <v>0.11569367470220893</v>
      </c>
      <c r="K30" s="20" t="s">
        <v>216</v>
      </c>
    </row>
    <row r="32" spans="1:11">
      <c r="D32" t="s">
        <v>224</v>
      </c>
      <c r="F32" t="s">
        <v>224</v>
      </c>
    </row>
    <row r="33" spans="1:8">
      <c r="B33" s="12" t="s">
        <v>189</v>
      </c>
      <c r="C33" s="12" t="s">
        <v>186</v>
      </c>
      <c r="D33" s="17" t="s">
        <v>221</v>
      </c>
      <c r="E33" s="17" t="s">
        <v>165</v>
      </c>
      <c r="F33" s="40" t="s">
        <v>219</v>
      </c>
      <c r="G33" s="40" t="s">
        <v>220</v>
      </c>
      <c r="H33" s="38" t="s">
        <v>223</v>
      </c>
    </row>
    <row r="34" spans="1:8">
      <c r="A34" s="37" t="s">
        <v>217</v>
      </c>
      <c r="B34" s="17">
        <v>87</v>
      </c>
      <c r="C34" s="22">
        <v>500000</v>
      </c>
      <c r="D34" s="17">
        <v>0.78</v>
      </c>
      <c r="E34" s="22">
        <f>B34*C34*D34/1000</f>
        <v>33930</v>
      </c>
      <c r="F34" s="38">
        <v>0.65</v>
      </c>
      <c r="G34" s="39">
        <v>610</v>
      </c>
      <c r="H34" s="17">
        <f>F34*G34</f>
        <v>396.5</v>
      </c>
    </row>
    <row r="35" spans="1:8">
      <c r="B35" s="17"/>
      <c r="C35" s="17"/>
      <c r="D35" s="17"/>
      <c r="E35" s="17"/>
      <c r="F35" s="17"/>
      <c r="G35" s="17"/>
      <c r="H35" s="17"/>
    </row>
    <row r="36" spans="1:8">
      <c r="A36" s="17" t="s">
        <v>218</v>
      </c>
      <c r="B36" s="17">
        <f>H36</f>
        <v>1200</v>
      </c>
      <c r="C36" s="17">
        <v>200000</v>
      </c>
      <c r="D36" s="17">
        <v>6.25E-2</v>
      </c>
      <c r="E36" s="22">
        <f>B36*C36*D36/1000</f>
        <v>15000</v>
      </c>
      <c r="F36" s="17">
        <v>0.1</v>
      </c>
      <c r="G36" s="17">
        <v>12000</v>
      </c>
      <c r="H36" s="17">
        <f t="shared" ref="H36:H37" si="6">F36*G36</f>
        <v>1200</v>
      </c>
    </row>
    <row r="37" spans="1:8">
      <c r="A37" s="17" t="s">
        <v>222</v>
      </c>
      <c r="B37" s="17">
        <f>H37</f>
        <v>120000</v>
      </c>
      <c r="C37" s="17">
        <v>150000</v>
      </c>
      <c r="D37" s="17">
        <v>1E-3</v>
      </c>
      <c r="E37" s="22">
        <f>B37*C37*D37/1000</f>
        <v>18000</v>
      </c>
      <c r="F37" s="17">
        <v>0.2</v>
      </c>
      <c r="G37" s="17">
        <v>600000</v>
      </c>
      <c r="H37" s="17">
        <f t="shared" si="6"/>
        <v>120000</v>
      </c>
    </row>
    <row r="39" spans="1:8">
      <c r="A39" t="s">
        <v>226</v>
      </c>
    </row>
    <row r="40" spans="1:8">
      <c r="A40" t="s">
        <v>227</v>
      </c>
    </row>
    <row r="41" spans="1:8">
      <c r="B41" t="s">
        <v>196</v>
      </c>
      <c r="C41" t="s">
        <v>183</v>
      </c>
      <c r="D41" t="s">
        <v>190</v>
      </c>
      <c r="E41" t="s">
        <v>192</v>
      </c>
      <c r="F41" t="s">
        <v>228</v>
      </c>
    </row>
    <row r="42" spans="1:8">
      <c r="A42" s="41">
        <v>41226</v>
      </c>
      <c r="B42" s="42">
        <v>4.5</v>
      </c>
      <c r="C42" s="43">
        <v>2.04</v>
      </c>
      <c r="D42">
        <v>30</v>
      </c>
      <c r="E42">
        <v>0.55000000000000004</v>
      </c>
      <c r="F42" s="43">
        <f>C42*D42*E42</f>
        <v>33.660000000000004</v>
      </c>
    </row>
    <row r="43" spans="1:8">
      <c r="A43" s="41">
        <v>41361</v>
      </c>
      <c r="B43" s="42">
        <v>4.5</v>
      </c>
      <c r="C43" s="43">
        <v>0.79</v>
      </c>
      <c r="D43">
        <v>35</v>
      </c>
      <c r="E43">
        <v>0.5</v>
      </c>
      <c r="F43" s="43">
        <f t="shared" ref="F43:F45" si="7">C43*D43*E43</f>
        <v>13.825000000000001</v>
      </c>
    </row>
    <row r="44" spans="1:8">
      <c r="A44" s="41">
        <v>41414</v>
      </c>
      <c r="B44" s="42">
        <v>4.5</v>
      </c>
      <c r="C44" s="43">
        <v>0.8</v>
      </c>
      <c r="D44">
        <v>35</v>
      </c>
      <c r="E44">
        <v>0.5</v>
      </c>
      <c r="F44" s="43">
        <f t="shared" si="7"/>
        <v>14</v>
      </c>
    </row>
    <row r="45" spans="1:8">
      <c r="A45" s="41">
        <v>41508</v>
      </c>
      <c r="B45" s="42">
        <v>4.5</v>
      </c>
      <c r="C45" s="43">
        <v>0.8</v>
      </c>
      <c r="D45">
        <v>35</v>
      </c>
      <c r="E45">
        <v>0.5</v>
      </c>
      <c r="F45" s="43">
        <f t="shared" si="7"/>
        <v>14</v>
      </c>
    </row>
  </sheetData>
  <printOptions horizontalCentered="1" headings="1"/>
  <pageMargins left="0.23" right="0.16" top="0.75" bottom="0.75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A33" sqref="A1:J33"/>
    </sheetView>
  </sheetViews>
  <sheetFormatPr defaultRowHeight="15"/>
  <cols>
    <col min="1" max="1" width="18.42578125" bestFit="1" customWidth="1"/>
    <col min="10" max="10" width="12.140625" bestFit="1" customWidth="1"/>
  </cols>
  <sheetData>
    <row r="1" spans="1:10">
      <c r="A1" s="16" t="s">
        <v>159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7"/>
      <c r="B2" s="12">
        <v>2009</v>
      </c>
      <c r="C2" s="12">
        <v>2010</v>
      </c>
      <c r="D2" s="12">
        <v>2011</v>
      </c>
      <c r="E2" s="12">
        <v>2012</v>
      </c>
      <c r="F2" s="12" t="s">
        <v>160</v>
      </c>
      <c r="G2" s="12" t="s">
        <v>161</v>
      </c>
      <c r="H2" s="12" t="s">
        <v>162</v>
      </c>
      <c r="I2" s="12" t="s">
        <v>163</v>
      </c>
      <c r="J2" s="12" t="s">
        <v>164</v>
      </c>
    </row>
    <row r="3" spans="1:10" ht="15.75">
      <c r="A3" s="17" t="s">
        <v>165</v>
      </c>
      <c r="B3" s="17"/>
      <c r="C3" s="17"/>
      <c r="D3" s="17"/>
      <c r="E3" s="17"/>
      <c r="F3" s="17"/>
      <c r="G3" s="17"/>
      <c r="H3" s="17"/>
      <c r="I3" s="17"/>
      <c r="J3" s="18" t="s">
        <v>166</v>
      </c>
    </row>
    <row r="4" spans="1:10">
      <c r="A4" s="17" t="s">
        <v>167</v>
      </c>
      <c r="B4" s="19"/>
      <c r="C4" s="19"/>
      <c r="D4" s="19"/>
      <c r="E4" s="19"/>
      <c r="F4" s="19"/>
      <c r="G4" s="19"/>
      <c r="H4" s="19"/>
      <c r="I4" s="19">
        <v>11310</v>
      </c>
      <c r="J4" s="44">
        <v>33930</v>
      </c>
    </row>
    <row r="5" spans="1:10">
      <c r="A5" s="17" t="s">
        <v>168</v>
      </c>
      <c r="B5" s="19"/>
      <c r="C5" s="19"/>
      <c r="D5" s="19"/>
      <c r="E5" s="19"/>
      <c r="F5" s="19"/>
      <c r="G5" s="19"/>
      <c r="H5" s="19"/>
      <c r="I5" s="19">
        <v>11310</v>
      </c>
      <c r="J5" s="19">
        <v>33930</v>
      </c>
    </row>
    <row r="6" spans="1:10">
      <c r="A6" s="17" t="s">
        <v>169</v>
      </c>
      <c r="B6" s="19"/>
      <c r="C6" s="19"/>
      <c r="D6" s="19"/>
      <c r="E6" s="19"/>
      <c r="F6" s="19"/>
      <c r="G6" s="19"/>
      <c r="H6" s="19"/>
      <c r="I6" s="19">
        <v>3750</v>
      </c>
      <c r="J6" s="19">
        <v>15000</v>
      </c>
    </row>
    <row r="7" spans="1:10">
      <c r="A7" s="17" t="s">
        <v>170</v>
      </c>
      <c r="B7" s="19"/>
      <c r="C7" s="19"/>
      <c r="D7" s="19"/>
      <c r="E7" s="19"/>
      <c r="F7" s="19"/>
      <c r="G7" s="19"/>
      <c r="H7" s="19"/>
      <c r="I7" s="19"/>
      <c r="J7" s="19">
        <v>18000</v>
      </c>
    </row>
    <row r="8" spans="1:10">
      <c r="A8" s="17" t="s">
        <v>171</v>
      </c>
      <c r="B8" s="19"/>
      <c r="C8" s="19"/>
      <c r="D8" s="19"/>
      <c r="E8" s="19"/>
      <c r="F8" s="19"/>
      <c r="G8" s="19"/>
      <c r="H8" s="19"/>
      <c r="I8" s="19"/>
      <c r="J8" s="19">
        <v>3000</v>
      </c>
    </row>
    <row r="9" spans="1:10">
      <c r="A9" s="17" t="s">
        <v>172</v>
      </c>
      <c r="B9" s="19">
        <v>994</v>
      </c>
      <c r="C9" s="19">
        <v>1418</v>
      </c>
      <c r="D9" s="19">
        <v>1221</v>
      </c>
      <c r="E9" s="19">
        <v>1368</v>
      </c>
      <c r="F9" s="19">
        <v>1042</v>
      </c>
      <c r="G9" s="19">
        <v>1216</v>
      </c>
      <c r="H9" s="19">
        <v>1668</v>
      </c>
      <c r="I9" s="19">
        <v>3285</v>
      </c>
      <c r="J9" s="19">
        <v>4413</v>
      </c>
    </row>
    <row r="10" spans="1:10">
      <c r="A10" s="17" t="s">
        <v>173</v>
      </c>
      <c r="B10" s="19">
        <f>SUM(B3:B9)</f>
        <v>994</v>
      </c>
      <c r="C10" s="19">
        <f t="shared" ref="C10:J10" si="0">SUM(C3:C9)</f>
        <v>1418</v>
      </c>
      <c r="D10" s="19">
        <f t="shared" si="0"/>
        <v>1221</v>
      </c>
      <c r="E10" s="19">
        <f t="shared" si="0"/>
        <v>1368</v>
      </c>
      <c r="F10" s="19">
        <f t="shared" si="0"/>
        <v>1042</v>
      </c>
      <c r="G10" s="19">
        <f t="shared" si="0"/>
        <v>1216</v>
      </c>
      <c r="H10" s="19">
        <f t="shared" si="0"/>
        <v>1668</v>
      </c>
      <c r="I10" s="19">
        <f t="shared" si="0"/>
        <v>29655</v>
      </c>
      <c r="J10" s="19">
        <f t="shared" si="0"/>
        <v>108273</v>
      </c>
    </row>
    <row r="11" spans="1:10">
      <c r="A11" s="17" t="s">
        <v>174</v>
      </c>
      <c r="B11" s="19">
        <v>261</v>
      </c>
      <c r="C11" s="19">
        <v>168</v>
      </c>
      <c r="D11" s="19">
        <v>215</v>
      </c>
      <c r="E11" s="19">
        <v>263</v>
      </c>
      <c r="F11" s="19">
        <v>258</v>
      </c>
      <c r="G11" s="19">
        <v>305</v>
      </c>
      <c r="H11" s="19">
        <v>350</v>
      </c>
      <c r="I11" s="19">
        <v>4341</v>
      </c>
      <c r="J11" s="19">
        <v>10810</v>
      </c>
    </row>
    <row r="12" spans="1:10">
      <c r="A12" s="17" t="s">
        <v>175</v>
      </c>
      <c r="B12" s="19">
        <f>B10-B11</f>
        <v>733</v>
      </c>
      <c r="C12" s="19">
        <f t="shared" ref="C12:J12" si="1">C10-C11</f>
        <v>1250</v>
      </c>
      <c r="D12" s="19">
        <f t="shared" si="1"/>
        <v>1006</v>
      </c>
      <c r="E12" s="19">
        <f t="shared" si="1"/>
        <v>1105</v>
      </c>
      <c r="F12" s="19">
        <f t="shared" si="1"/>
        <v>784</v>
      </c>
      <c r="G12" s="19">
        <f t="shared" si="1"/>
        <v>911</v>
      </c>
      <c r="H12" s="19">
        <f t="shared" si="1"/>
        <v>1318</v>
      </c>
      <c r="I12" s="19">
        <f t="shared" si="1"/>
        <v>25314</v>
      </c>
      <c r="J12" s="19">
        <f t="shared" si="1"/>
        <v>97463</v>
      </c>
    </row>
    <row r="13" spans="1:10">
      <c r="A13" s="17" t="s">
        <v>176</v>
      </c>
      <c r="B13" s="19">
        <v>19931</v>
      </c>
      <c r="C13" s="19">
        <v>21020</v>
      </c>
      <c r="D13" s="19">
        <v>19938</v>
      </c>
      <c r="E13" s="19">
        <v>15847</v>
      </c>
      <c r="F13" s="19">
        <v>19671</v>
      </c>
      <c r="G13" s="19">
        <v>19868</v>
      </c>
      <c r="H13" s="19">
        <v>20067</v>
      </c>
      <c r="I13" s="19">
        <v>20267</v>
      </c>
      <c r="J13" s="19">
        <v>20470</v>
      </c>
    </row>
    <row r="14" spans="1:10">
      <c r="A14" s="17" t="s">
        <v>177</v>
      </c>
      <c r="B14" s="19">
        <f>B15-B13</f>
        <v>10180</v>
      </c>
      <c r="C14" s="19">
        <f t="shared" ref="C14:J14" si="2">C15-C13</f>
        <v>9599</v>
      </c>
      <c r="D14" s="19">
        <f t="shared" si="2"/>
        <v>9144</v>
      </c>
      <c r="E14" s="19">
        <f t="shared" si="2"/>
        <v>7804</v>
      </c>
      <c r="F14" s="19">
        <f t="shared" si="2"/>
        <v>8476</v>
      </c>
      <c r="G14" s="19">
        <f t="shared" si="2"/>
        <v>8569</v>
      </c>
      <c r="H14" s="19">
        <f t="shared" si="2"/>
        <v>8651</v>
      </c>
      <c r="I14" s="19">
        <f t="shared" si="2"/>
        <v>8385</v>
      </c>
      <c r="J14" s="19">
        <f t="shared" si="2"/>
        <v>8468</v>
      </c>
    </row>
    <row r="15" spans="1:10">
      <c r="A15" s="17" t="s">
        <v>178</v>
      </c>
      <c r="B15" s="19">
        <v>30111</v>
      </c>
      <c r="C15" s="19">
        <v>30619</v>
      </c>
      <c r="D15" s="19">
        <v>29082</v>
      </c>
      <c r="E15" s="19">
        <v>23651</v>
      </c>
      <c r="F15" s="19">
        <v>28147</v>
      </c>
      <c r="G15" s="19">
        <v>28437</v>
      </c>
      <c r="H15" s="19">
        <v>28718</v>
      </c>
      <c r="I15" s="19">
        <v>28652</v>
      </c>
      <c r="J15" s="19">
        <v>28938</v>
      </c>
    </row>
    <row r="16" spans="1:10">
      <c r="A16" s="17" t="s">
        <v>179</v>
      </c>
      <c r="B16" s="19">
        <f>B12-B13-B14</f>
        <v>-29378</v>
      </c>
      <c r="C16" s="19">
        <f t="shared" ref="C16:J16" si="3">C12-C13-C14</f>
        <v>-29369</v>
      </c>
      <c r="D16" s="19">
        <f t="shared" si="3"/>
        <v>-28076</v>
      </c>
      <c r="E16" s="19">
        <f t="shared" si="3"/>
        <v>-22546</v>
      </c>
      <c r="F16" s="19">
        <f t="shared" si="3"/>
        <v>-27363</v>
      </c>
      <c r="G16" s="19">
        <f t="shared" si="3"/>
        <v>-27526</v>
      </c>
      <c r="H16" s="19">
        <f t="shared" si="3"/>
        <v>-27400</v>
      </c>
      <c r="I16" s="19">
        <f t="shared" si="3"/>
        <v>-3338</v>
      </c>
      <c r="J16" s="19">
        <f t="shared" si="3"/>
        <v>68525</v>
      </c>
    </row>
    <row r="17" spans="1:10">
      <c r="A17" s="17" t="s">
        <v>180</v>
      </c>
      <c r="B17" s="19">
        <v>2352</v>
      </c>
      <c r="C17" s="19">
        <v>4116</v>
      </c>
      <c r="D17" s="19">
        <v>6748</v>
      </c>
      <c r="E17" s="19">
        <v>-5945</v>
      </c>
      <c r="F17" s="19">
        <v>-1627</v>
      </c>
      <c r="G17" s="19">
        <v>-1077</v>
      </c>
      <c r="H17" s="19">
        <v>-1077</v>
      </c>
      <c r="I17" s="19">
        <v>2153</v>
      </c>
      <c r="J17" s="19">
        <v>2153</v>
      </c>
    </row>
    <row r="18" spans="1:10">
      <c r="A18" s="17" t="s">
        <v>181</v>
      </c>
      <c r="B18" s="19">
        <f>B16+B17</f>
        <v>-27026</v>
      </c>
      <c r="C18" s="19">
        <f t="shared" ref="C18:J18" si="4">C16+C17</f>
        <v>-25253</v>
      </c>
      <c r="D18" s="19">
        <f t="shared" si="4"/>
        <v>-21328</v>
      </c>
      <c r="E18" s="19">
        <f t="shared" si="4"/>
        <v>-28491</v>
      </c>
      <c r="F18" s="19">
        <f t="shared" si="4"/>
        <v>-28990</v>
      </c>
      <c r="G18" s="19">
        <f t="shared" si="4"/>
        <v>-28603</v>
      </c>
      <c r="H18" s="19">
        <f t="shared" si="4"/>
        <v>-28477</v>
      </c>
      <c r="I18" s="19">
        <f t="shared" si="4"/>
        <v>-1185</v>
      </c>
      <c r="J18" s="19">
        <f t="shared" si="4"/>
        <v>70678</v>
      </c>
    </row>
    <row r="19" spans="1:10">
      <c r="A19" s="17" t="s">
        <v>182</v>
      </c>
      <c r="B19" s="19">
        <v>10606</v>
      </c>
      <c r="C19" s="19">
        <v>12330</v>
      </c>
      <c r="D19" s="19">
        <v>14188</v>
      </c>
      <c r="E19" s="19">
        <v>28824</v>
      </c>
      <c r="F19" s="19">
        <v>46729</v>
      </c>
      <c r="G19" s="19">
        <v>66291</v>
      </c>
      <c r="H19" s="19">
        <v>72920</v>
      </c>
      <c r="I19" s="19">
        <v>80212</v>
      </c>
      <c r="J19" s="19">
        <v>88233</v>
      </c>
    </row>
    <row r="20" spans="1:10">
      <c r="A20" s="17" t="s">
        <v>183</v>
      </c>
      <c r="B20" s="20">
        <f>B18/B19</f>
        <v>-2.5481802753158589</v>
      </c>
      <c r="C20" s="20">
        <f t="shared" ref="C20:J20" si="5">C18/C19</f>
        <v>-2.0480940794809408</v>
      </c>
      <c r="D20" s="20">
        <f t="shared" si="5"/>
        <v>-1.5032421764871722</v>
      </c>
      <c r="E20" s="20">
        <f t="shared" si="5"/>
        <v>-0.98844712739383844</v>
      </c>
      <c r="F20" s="20">
        <f t="shared" si="5"/>
        <v>-0.62038562776862338</v>
      </c>
      <c r="G20" s="20">
        <f t="shared" si="5"/>
        <v>-0.4314763693412379</v>
      </c>
      <c r="H20" s="20">
        <f t="shared" si="5"/>
        <v>-0.39052386176631926</v>
      </c>
      <c r="I20" s="20">
        <f t="shared" si="5"/>
        <v>-1.4773350620854735E-2</v>
      </c>
      <c r="J20" s="20">
        <f t="shared" si="5"/>
        <v>0.80103816032550179</v>
      </c>
    </row>
    <row r="21" spans="1:10">
      <c r="A21" s="17"/>
      <c r="B21" s="17"/>
      <c r="C21" s="17"/>
      <c r="D21" s="17"/>
      <c r="E21" s="17"/>
      <c r="F21" s="17" t="s">
        <v>142</v>
      </c>
      <c r="G21" s="17"/>
      <c r="H21" s="17"/>
      <c r="I21" s="17"/>
      <c r="J21" s="17"/>
    </row>
    <row r="22" spans="1:10">
      <c r="A22" s="17" t="s">
        <v>184</v>
      </c>
      <c r="B22" s="17"/>
      <c r="C22" s="17"/>
      <c r="D22" s="17"/>
      <c r="E22" s="17"/>
      <c r="F22" s="17" t="s">
        <v>142</v>
      </c>
      <c r="G22" s="17"/>
      <c r="H22" s="17" t="s">
        <v>185</v>
      </c>
      <c r="I22" s="17" t="s">
        <v>186</v>
      </c>
      <c r="J22" s="21">
        <v>0.26</v>
      </c>
    </row>
    <row r="23" spans="1:10">
      <c r="A23" s="17" t="s">
        <v>187</v>
      </c>
      <c r="B23" s="17"/>
      <c r="C23" s="17"/>
      <c r="D23" s="17" t="s">
        <v>142</v>
      </c>
      <c r="E23" s="17" t="s">
        <v>142</v>
      </c>
      <c r="F23" s="17"/>
      <c r="G23" s="17"/>
      <c r="H23" s="17"/>
      <c r="I23" s="17" t="s">
        <v>183</v>
      </c>
      <c r="J23" s="20" t="s">
        <v>142</v>
      </c>
    </row>
    <row r="24" spans="1:10">
      <c r="A24" s="17" t="s">
        <v>188</v>
      </c>
      <c r="B24" s="17">
        <v>18614</v>
      </c>
      <c r="C24" s="17"/>
      <c r="D24" s="12" t="s">
        <v>142</v>
      </c>
      <c r="E24" s="12" t="s">
        <v>142</v>
      </c>
      <c r="F24" s="17"/>
      <c r="G24" s="17"/>
      <c r="H24" s="17"/>
      <c r="I24" s="17" t="s">
        <v>190</v>
      </c>
      <c r="J24" s="17" t="s">
        <v>142</v>
      </c>
    </row>
    <row r="25" spans="1:10">
      <c r="A25" s="17" t="s">
        <v>191</v>
      </c>
      <c r="B25" s="17">
        <v>1520</v>
      </c>
      <c r="C25" s="17"/>
      <c r="D25" s="17" t="s">
        <v>142</v>
      </c>
      <c r="E25" s="22" t="s">
        <v>142</v>
      </c>
      <c r="F25" s="17"/>
      <c r="G25" s="17"/>
      <c r="H25" s="17"/>
      <c r="I25" s="17" t="s">
        <v>192</v>
      </c>
      <c r="J25" s="17" t="s">
        <v>142</v>
      </c>
    </row>
    <row r="26" spans="1:10">
      <c r="A26" s="17" t="s">
        <v>193</v>
      </c>
      <c r="B26" s="17">
        <v>4630</v>
      </c>
      <c r="C26" s="17"/>
      <c r="D26" s="34" t="s">
        <v>142</v>
      </c>
      <c r="E26" s="35" t="s">
        <v>142</v>
      </c>
      <c r="F26" s="17"/>
      <c r="G26" s="17"/>
      <c r="H26" s="17" t="s">
        <v>194</v>
      </c>
      <c r="I26" s="17" t="s">
        <v>186</v>
      </c>
      <c r="J26" s="20">
        <v>0.77</v>
      </c>
    </row>
    <row r="27" spans="1:10">
      <c r="A27" s="17" t="s">
        <v>195</v>
      </c>
      <c r="B27" s="17">
        <f>SUM(B24:B26)</f>
        <v>24764</v>
      </c>
      <c r="C27" s="17"/>
      <c r="D27" s="17" t="s">
        <v>142</v>
      </c>
      <c r="E27" s="23" t="s">
        <v>142</v>
      </c>
      <c r="F27" s="17"/>
      <c r="G27" s="17" t="s">
        <v>196</v>
      </c>
      <c r="H27" s="17" t="s">
        <v>197</v>
      </c>
      <c r="I27" s="17" t="s">
        <v>198</v>
      </c>
      <c r="J27" s="23">
        <f>J19*J26</f>
        <v>67939.41</v>
      </c>
    </row>
    <row r="28" spans="1:10">
      <c r="A28" s="17" t="s">
        <v>199</v>
      </c>
      <c r="B28" s="17">
        <f>B30-B29</f>
        <v>14556</v>
      </c>
      <c r="C28" s="17"/>
      <c r="D28" s="17"/>
      <c r="E28" s="17"/>
      <c r="F28" s="17"/>
      <c r="G28" s="17" t="s">
        <v>188</v>
      </c>
      <c r="H28" s="17" t="s">
        <v>197</v>
      </c>
      <c r="I28" s="17" t="s">
        <v>198</v>
      </c>
      <c r="J28" s="23">
        <f>J19*J22</f>
        <v>22940.58</v>
      </c>
    </row>
    <row r="29" spans="1:10">
      <c r="A29" s="17" t="s">
        <v>200</v>
      </c>
      <c r="B29" s="23">
        <v>10208</v>
      </c>
      <c r="C29" s="17"/>
      <c r="D29" s="17"/>
      <c r="E29" s="17"/>
      <c r="F29" s="17"/>
      <c r="G29" s="17" t="s">
        <v>188</v>
      </c>
      <c r="H29" s="17" t="s">
        <v>229</v>
      </c>
      <c r="I29" s="17"/>
      <c r="J29" s="23">
        <f>Output!$F$7/1000+B29-B26</f>
        <v>85635.031371907826</v>
      </c>
    </row>
    <row r="30" spans="1:10">
      <c r="A30" s="17" t="s">
        <v>201</v>
      </c>
      <c r="B30" s="17">
        <f>B27</f>
        <v>24764</v>
      </c>
      <c r="C30" s="17"/>
      <c r="D30" s="17"/>
      <c r="E30" s="17"/>
      <c r="F30" s="17"/>
      <c r="G30" s="17" t="s">
        <v>188</v>
      </c>
      <c r="H30" s="17" t="s">
        <v>262</v>
      </c>
      <c r="I30" s="17"/>
      <c r="J30" s="23">
        <f>0.4*'Edison Feb 2016'!$B$17/1000+B29-B26</f>
        <v>58486.631399535174</v>
      </c>
    </row>
    <row r="32" spans="1:10">
      <c r="A32" t="s">
        <v>263</v>
      </c>
    </row>
    <row r="33" spans="1:10">
      <c r="A33" t="s">
        <v>261</v>
      </c>
    </row>
    <row r="36" spans="1:10">
      <c r="J36" t="s">
        <v>142</v>
      </c>
    </row>
    <row r="37" spans="1:10">
      <c r="J37" t="s">
        <v>142</v>
      </c>
    </row>
  </sheetData>
  <printOptions horizontalCentered="1" verticalCentered="1" headings="1"/>
  <pageMargins left="0.25" right="0.16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94"/>
  <sheetViews>
    <sheetView workbookViewId="0">
      <selection activeCell="A22" sqref="A1:I22"/>
    </sheetView>
  </sheetViews>
  <sheetFormatPr defaultRowHeight="15"/>
  <cols>
    <col min="1" max="1" width="25.28515625" bestFit="1" customWidth="1"/>
    <col min="5" max="5" width="12.7109375" bestFit="1" customWidth="1"/>
  </cols>
  <sheetData>
    <row r="1" spans="1:9">
      <c r="A1" s="8" t="s">
        <v>127</v>
      </c>
      <c r="B1" t="s">
        <v>146</v>
      </c>
    </row>
    <row r="2" spans="1:9">
      <c r="A2" s="1" t="s">
        <v>0</v>
      </c>
      <c r="B2" s="8"/>
      <c r="D2" t="s">
        <v>2</v>
      </c>
    </row>
    <row r="3" spans="1:9">
      <c r="A3" t="s">
        <v>148</v>
      </c>
      <c r="B3" s="8">
        <v>0</v>
      </c>
      <c r="E3" t="s">
        <v>3</v>
      </c>
      <c r="F3" t="s">
        <v>4</v>
      </c>
      <c r="G3" t="s">
        <v>5</v>
      </c>
      <c r="H3" t="s">
        <v>6</v>
      </c>
      <c r="I3" t="s">
        <v>7</v>
      </c>
    </row>
    <row r="4" spans="1:9">
      <c r="A4" t="s">
        <v>149</v>
      </c>
      <c r="B4" s="9">
        <v>0.74099999999999999</v>
      </c>
      <c r="D4" t="s">
        <v>3</v>
      </c>
      <c r="E4" s="2">
        <v>1</v>
      </c>
    </row>
    <row r="5" spans="1:9">
      <c r="B5" s="8"/>
      <c r="D5" t="s">
        <v>4</v>
      </c>
      <c r="E5" s="9">
        <v>0</v>
      </c>
      <c r="F5" s="2">
        <v>1</v>
      </c>
    </row>
    <row r="6" spans="1:9">
      <c r="A6" s="1" t="s">
        <v>1</v>
      </c>
      <c r="B6" s="8"/>
      <c r="D6" t="s">
        <v>5</v>
      </c>
      <c r="E6" s="9">
        <v>0</v>
      </c>
      <c r="F6" s="9">
        <v>0</v>
      </c>
      <c r="G6" s="2">
        <v>1</v>
      </c>
    </row>
    <row r="7" spans="1:9">
      <c r="A7" t="s">
        <v>150</v>
      </c>
      <c r="B7" s="8">
        <v>0</v>
      </c>
      <c r="D7" t="s">
        <v>6</v>
      </c>
      <c r="E7" s="9">
        <v>0</v>
      </c>
      <c r="F7" s="9">
        <v>0</v>
      </c>
      <c r="G7" s="9">
        <v>0</v>
      </c>
      <c r="H7" s="2">
        <v>1</v>
      </c>
    </row>
    <row r="8" spans="1:9">
      <c r="A8" t="s">
        <v>152</v>
      </c>
      <c r="B8" s="9">
        <v>0.05</v>
      </c>
      <c r="D8" t="s">
        <v>7</v>
      </c>
      <c r="E8" s="9">
        <v>0</v>
      </c>
      <c r="F8" s="9">
        <v>0</v>
      </c>
      <c r="G8" s="9">
        <v>0</v>
      </c>
      <c r="H8" s="9">
        <v>0</v>
      </c>
      <c r="I8" s="2">
        <v>1</v>
      </c>
    </row>
    <row r="9" spans="1:9">
      <c r="A9" t="s">
        <v>151</v>
      </c>
      <c r="B9" s="9">
        <v>0</v>
      </c>
    </row>
    <row r="10" spans="1:9">
      <c r="A10" s="1" t="s">
        <v>8</v>
      </c>
      <c r="B10" s="8"/>
      <c r="E10" s="8"/>
    </row>
    <row r="11" spans="1:9">
      <c r="A11" t="s">
        <v>158</v>
      </c>
      <c r="B11" s="8">
        <v>0</v>
      </c>
      <c r="D11" s="1" t="s">
        <v>12</v>
      </c>
      <c r="E11" s="8"/>
    </row>
    <row r="12" spans="1:9">
      <c r="A12" t="s">
        <v>157</v>
      </c>
      <c r="B12" s="9">
        <v>0.05</v>
      </c>
      <c r="D12" t="s">
        <v>13</v>
      </c>
      <c r="E12" s="25">
        <f>E19</f>
        <v>120000000</v>
      </c>
    </row>
    <row r="13" spans="1:9">
      <c r="A13" t="s">
        <v>151</v>
      </c>
      <c r="B13" s="9">
        <f>B17/2</f>
        <v>0.19999999999999998</v>
      </c>
      <c r="D13" t="s">
        <v>14</v>
      </c>
      <c r="E13" s="25">
        <f>E20</f>
        <v>60000000</v>
      </c>
    </row>
    <row r="14" spans="1:9">
      <c r="A14" s="1" t="s">
        <v>9</v>
      </c>
      <c r="B14" s="8"/>
      <c r="D14" t="s">
        <v>15</v>
      </c>
      <c r="E14" s="25">
        <f>E21</f>
        <v>30000000</v>
      </c>
    </row>
    <row r="15" spans="1:9">
      <c r="A15" t="s">
        <v>156</v>
      </c>
      <c r="B15" s="8">
        <v>0</v>
      </c>
      <c r="D15" t="s">
        <v>16</v>
      </c>
      <c r="E15" s="25">
        <f>E22</f>
        <v>15000000</v>
      </c>
    </row>
    <row r="16" spans="1:9">
      <c r="A16" t="s">
        <v>155</v>
      </c>
      <c r="B16" s="9">
        <v>0.05</v>
      </c>
      <c r="E16" s="8"/>
    </row>
    <row r="17" spans="1:8">
      <c r="A17" t="s">
        <v>151</v>
      </c>
      <c r="B17" s="9">
        <f>Output!$I$6</f>
        <v>0.39999999999999997</v>
      </c>
      <c r="D17" s="1" t="s">
        <v>17</v>
      </c>
      <c r="E17" s="8"/>
    </row>
    <row r="18" spans="1:8">
      <c r="A18" s="1" t="s">
        <v>10</v>
      </c>
      <c r="B18" s="8"/>
      <c r="D18" t="s">
        <v>3</v>
      </c>
      <c r="E18" s="25">
        <f>'Edison Feb 2016'!$B$20</f>
        <v>278131457.58231097</v>
      </c>
    </row>
    <row r="19" spans="1:8">
      <c r="A19" t="s">
        <v>154</v>
      </c>
      <c r="B19" s="8">
        <v>0</v>
      </c>
      <c r="D19" t="s">
        <v>4</v>
      </c>
      <c r="E19" s="25">
        <f>-'Edison Feb 2016'!$F$21</f>
        <v>120000000</v>
      </c>
      <c r="G19" s="5"/>
    </row>
    <row r="20" spans="1:8">
      <c r="A20" t="s">
        <v>153</v>
      </c>
      <c r="B20" s="9">
        <v>0.05</v>
      </c>
      <c r="D20" t="s">
        <v>5</v>
      </c>
      <c r="E20" s="25">
        <f>-'Edison Feb 2016'!$E$21</f>
        <v>60000000</v>
      </c>
    </row>
    <row r="21" spans="1:8">
      <c r="A21" t="s">
        <v>151</v>
      </c>
      <c r="B21" s="9">
        <f>Output!$I$7</f>
        <v>0.6</v>
      </c>
      <c r="D21" t="s">
        <v>6</v>
      </c>
      <c r="E21" s="25">
        <f>-'Edison Feb 2016'!$D$21</f>
        <v>30000000</v>
      </c>
    </row>
    <row r="22" spans="1:8">
      <c r="A22" t="s">
        <v>11</v>
      </c>
      <c r="B22" s="52">
        <v>0.125</v>
      </c>
      <c r="D22" t="s">
        <v>7</v>
      </c>
      <c r="E22" s="25">
        <f>-'Edison Feb 2016'!$C$21</f>
        <v>15000000</v>
      </c>
    </row>
    <row r="23" spans="1:8">
      <c r="B23" s="8"/>
    </row>
    <row r="25" spans="1:8">
      <c r="A25" s="1" t="s">
        <v>18</v>
      </c>
    </row>
    <row r="27" spans="1:8">
      <c r="A27" t="s">
        <v>19</v>
      </c>
    </row>
    <row r="28" spans="1:8">
      <c r="B28" t="s">
        <v>3</v>
      </c>
      <c r="C28" t="s">
        <v>4</v>
      </c>
      <c r="D28" t="s">
        <v>5</v>
      </c>
      <c r="E28" t="s">
        <v>6</v>
      </c>
      <c r="F28" t="s">
        <v>7</v>
      </c>
      <c r="H28" t="s">
        <v>20</v>
      </c>
    </row>
    <row r="29" spans="1:8">
      <c r="A29" t="s">
        <v>3</v>
      </c>
      <c r="B29" s="2">
        <f>E4</f>
        <v>1</v>
      </c>
      <c r="C29" s="2">
        <f>B30</f>
        <v>0</v>
      </c>
      <c r="D29" s="2">
        <f>B31</f>
        <v>0</v>
      </c>
      <c r="E29" s="2">
        <f>B32</f>
        <v>0</v>
      </c>
      <c r="F29" s="2">
        <f>B33</f>
        <v>0</v>
      </c>
      <c r="H29" s="2">
        <f>B35</f>
        <v>0.74099999999999999</v>
      </c>
    </row>
    <row r="30" spans="1:8">
      <c r="A30" t="s">
        <v>4</v>
      </c>
      <c r="B30" s="2">
        <f>E5</f>
        <v>0</v>
      </c>
      <c r="C30" s="2">
        <f>F5</f>
        <v>1</v>
      </c>
      <c r="D30" s="2">
        <f>C31</f>
        <v>0</v>
      </c>
      <c r="E30" s="2">
        <f>C32</f>
        <v>0</v>
      </c>
      <c r="F30" s="2">
        <f>C33</f>
        <v>0</v>
      </c>
      <c r="H30" s="2">
        <f>C35</f>
        <v>0.05</v>
      </c>
    </row>
    <row r="31" spans="1:8">
      <c r="A31" t="s">
        <v>5</v>
      </c>
      <c r="B31" s="2">
        <f>E6</f>
        <v>0</v>
      </c>
      <c r="C31" s="2">
        <f>F6</f>
        <v>0</v>
      </c>
      <c r="D31" s="2">
        <f>G6</f>
        <v>1</v>
      </c>
      <c r="E31" s="2">
        <f>D32</f>
        <v>0</v>
      </c>
      <c r="F31" s="2">
        <f>D33</f>
        <v>0</v>
      </c>
      <c r="H31" s="2">
        <f>D35</f>
        <v>0.05</v>
      </c>
    </row>
    <row r="32" spans="1:8">
      <c r="A32" t="s">
        <v>6</v>
      </c>
      <c r="B32" s="2">
        <f>E7</f>
        <v>0</v>
      </c>
      <c r="C32" s="2">
        <f>F7</f>
        <v>0</v>
      </c>
      <c r="D32" s="2">
        <f>G7</f>
        <v>0</v>
      </c>
      <c r="E32" s="2">
        <f>H7</f>
        <v>1</v>
      </c>
      <c r="F32" s="2">
        <f>E33</f>
        <v>0</v>
      </c>
      <c r="H32" s="2">
        <f>E35</f>
        <v>0.05</v>
      </c>
    </row>
    <row r="33" spans="1:8">
      <c r="A33" t="s">
        <v>7</v>
      </c>
      <c r="B33" s="2">
        <f>E8</f>
        <v>0</v>
      </c>
      <c r="C33" s="2">
        <f>F8</f>
        <v>0</v>
      </c>
      <c r="D33" s="2">
        <f>G8</f>
        <v>0</v>
      </c>
      <c r="E33" s="2">
        <f>H8</f>
        <v>0</v>
      </c>
      <c r="F33" s="2">
        <f>I8</f>
        <v>1</v>
      </c>
      <c r="H33" s="2">
        <f>F35</f>
        <v>0.05</v>
      </c>
    </row>
    <row r="35" spans="1:8">
      <c r="A35" t="s">
        <v>20</v>
      </c>
      <c r="B35" s="2">
        <f>B4</f>
        <v>0.74099999999999999</v>
      </c>
      <c r="C35" s="2">
        <f>B8</f>
        <v>0.05</v>
      </c>
      <c r="D35" s="2">
        <f>B12</f>
        <v>0.05</v>
      </c>
      <c r="E35" s="2">
        <f>B16</f>
        <v>0.05</v>
      </c>
      <c r="F35" s="2">
        <f>B20</f>
        <v>0.05</v>
      </c>
    </row>
    <row r="36" spans="1:8">
      <c r="A36" t="s">
        <v>21</v>
      </c>
    </row>
    <row r="37" spans="1:8">
      <c r="A37" t="s">
        <v>3</v>
      </c>
      <c r="B37" s="3">
        <f>B29*B$35*$H29</f>
        <v>0.54908100000000004</v>
      </c>
      <c r="C37" s="3">
        <f>C29*C$35*$H29</f>
        <v>0</v>
      </c>
      <c r="D37" s="3">
        <f>D29*D$35*$H29</f>
        <v>0</v>
      </c>
      <c r="E37" s="3">
        <f>E29*E$35*$H29</f>
        <v>0</v>
      </c>
      <c r="F37" s="3">
        <f>F29*F$35*$H29</f>
        <v>0</v>
      </c>
    </row>
    <row r="38" spans="1:8">
      <c r="A38" t="s">
        <v>4</v>
      </c>
      <c r="B38" s="3">
        <f>E5*B$35*$H30</f>
        <v>0</v>
      </c>
      <c r="C38" s="3">
        <f>C30*C$35*$H30</f>
        <v>2.5000000000000005E-3</v>
      </c>
      <c r="D38" s="3">
        <f>D30*D$35*$H30</f>
        <v>0</v>
      </c>
      <c r="E38" s="3">
        <f>E30*E$35*$H30</f>
        <v>0</v>
      </c>
      <c r="F38" s="3">
        <f>F30*F$35*$H30</f>
        <v>0</v>
      </c>
    </row>
    <row r="39" spans="1:8">
      <c r="A39" t="s">
        <v>5</v>
      </c>
      <c r="B39" s="3">
        <f>E6*B$35*$H31</f>
        <v>0</v>
      </c>
      <c r="C39" s="3">
        <f>F6*C$35*$H31</f>
        <v>0</v>
      </c>
      <c r="D39" s="3">
        <f>D31*D$35*$H31</f>
        <v>2.5000000000000005E-3</v>
      </c>
      <c r="E39" s="3">
        <f>E31*E$35*$H31</f>
        <v>0</v>
      </c>
      <c r="F39" s="3">
        <f>F31*F$35*$H31</f>
        <v>0</v>
      </c>
    </row>
    <row r="40" spans="1:8">
      <c r="A40" t="s">
        <v>6</v>
      </c>
      <c r="B40" s="3">
        <f>E7*B$35*$H32</f>
        <v>0</v>
      </c>
      <c r="C40" s="3">
        <f>F7*C$35*$H32</f>
        <v>0</v>
      </c>
      <c r="D40" s="3">
        <f>G7*D$35*$H32</f>
        <v>0</v>
      </c>
      <c r="E40" s="3">
        <f>E32*E$35*$H32</f>
        <v>2.5000000000000005E-3</v>
      </c>
      <c r="F40" s="3">
        <f>F32*F$35*$H32</f>
        <v>0</v>
      </c>
    </row>
    <row r="41" spans="1:8">
      <c r="A41" t="s">
        <v>7</v>
      </c>
      <c r="B41" s="3">
        <f>E8*B$35*$H33</f>
        <v>0</v>
      </c>
      <c r="C41" s="3">
        <f>F8*C$35*$H33</f>
        <v>0</v>
      </c>
      <c r="D41" s="3">
        <f>G8*D$35*$H33</f>
        <v>0</v>
      </c>
      <c r="E41" s="3">
        <f>H8*E$35*$H33</f>
        <v>0</v>
      </c>
      <c r="F41" s="3">
        <f>F33*F$35*$H33</f>
        <v>2.5000000000000005E-3</v>
      </c>
    </row>
    <row r="43" spans="1:8">
      <c r="A43" s="1" t="s">
        <v>22</v>
      </c>
    </row>
    <row r="44" spans="1:8">
      <c r="A44" s="4" t="s">
        <v>1</v>
      </c>
    </row>
    <row r="45" spans="1:8">
      <c r="A45" t="s">
        <v>23</v>
      </c>
      <c r="B45">
        <v>1</v>
      </c>
      <c r="C45" t="s">
        <v>24</v>
      </c>
    </row>
    <row r="46" spans="1:8">
      <c r="B46">
        <v>-1</v>
      </c>
    </row>
    <row r="48" spans="1:8">
      <c r="A48" t="s">
        <v>25</v>
      </c>
      <c r="B48">
        <f t="array" ref="B48:C48">TRANSPOSE(B45:B46)</f>
        <v>1</v>
      </c>
      <c r="C48">
        <v>-1</v>
      </c>
    </row>
    <row r="50" spans="1:5">
      <c r="A50" t="s">
        <v>26</v>
      </c>
      <c r="B50" s="5">
        <f t="array" ref="B50:B51">MMULT(B37:C38,B45:B46)</f>
        <v>0.54908100000000004</v>
      </c>
    </row>
    <row r="51" spans="1:5">
      <c r="B51" s="5">
        <v>-2.5000000000000005E-3</v>
      </c>
    </row>
    <row r="52" spans="1:5">
      <c r="B52" s="5"/>
    </row>
    <row r="53" spans="1:5">
      <c r="A53" t="s">
        <v>27</v>
      </c>
      <c r="B53" s="5">
        <f>MMULT(B48:C48,B50:B51)</f>
        <v>0.55158099999999999</v>
      </c>
      <c r="D53" s="5"/>
    </row>
    <row r="54" spans="1:5">
      <c r="A54" t="s">
        <v>28</v>
      </c>
      <c r="B54" s="5">
        <f>SQRT(B53)</f>
        <v>0.74268499378942621</v>
      </c>
      <c r="D54" s="5"/>
    </row>
    <row r="56" spans="1:5">
      <c r="A56" t="s">
        <v>29</v>
      </c>
      <c r="B56">
        <f>B3-B7</f>
        <v>0</v>
      </c>
    </row>
    <row r="57" spans="1:5">
      <c r="A57" t="s">
        <v>30</v>
      </c>
      <c r="B57" s="2">
        <f>B22+B9-B7</f>
        <v>0.125</v>
      </c>
      <c r="D57" s="2"/>
    </row>
    <row r="58" spans="1:5">
      <c r="A58" t="s">
        <v>31</v>
      </c>
      <c r="B58" s="3">
        <f>0.5-B56/B53</f>
        <v>0.5</v>
      </c>
      <c r="D58" s="5"/>
    </row>
    <row r="59" spans="1:5">
      <c r="A59" t="s">
        <v>32</v>
      </c>
      <c r="B59" s="3">
        <f>B58^2+2*B57/B53</f>
        <v>0.70324258812395635</v>
      </c>
      <c r="D59" s="5" t="s">
        <v>33</v>
      </c>
      <c r="E59" t="s">
        <v>34</v>
      </c>
    </row>
    <row r="60" spans="1:5">
      <c r="A60" t="s">
        <v>35</v>
      </c>
      <c r="B60" s="3">
        <f>B58+SQRT(B59)</f>
        <v>1.3385956046414482</v>
      </c>
      <c r="D60" s="3">
        <f>B60</f>
        <v>1.3385956046414482</v>
      </c>
      <c r="E60" s="3">
        <f>1-D60</f>
        <v>-0.33859560464144822</v>
      </c>
    </row>
    <row r="61" spans="1:5">
      <c r="A61" t="s">
        <v>36</v>
      </c>
      <c r="B61" s="3">
        <f>B60/(B60-1)</f>
        <v>3.9533756088149405</v>
      </c>
      <c r="D61" s="5"/>
    </row>
    <row r="63" spans="1:5">
      <c r="A63" t="s">
        <v>37</v>
      </c>
      <c r="B63">
        <f>B61*E12</f>
        <v>474405073.05779284</v>
      </c>
    </row>
    <row r="64" spans="1:5">
      <c r="A64" t="s">
        <v>38</v>
      </c>
      <c r="B64">
        <f>((B60-1)^(B60-1))/(B60^B60)</f>
        <v>0.46905075340934449</v>
      </c>
    </row>
    <row r="65" spans="1:4">
      <c r="A65" t="s">
        <v>39</v>
      </c>
      <c r="B65">
        <f>B60/(B60-1)</f>
        <v>3.9533756088149405</v>
      </c>
    </row>
    <row r="66" spans="1:4">
      <c r="A66" t="s">
        <v>40</v>
      </c>
      <c r="B66">
        <f>B64*(E18^D60)*(E19^E60)</f>
        <v>173412605.29482964</v>
      </c>
      <c r="C66" t="s">
        <v>143</v>
      </c>
    </row>
    <row r="67" spans="1:4">
      <c r="A67" t="s">
        <v>41</v>
      </c>
      <c r="B67">
        <f>IF(E18&lt;B63,B66,E18-E19)</f>
        <v>173412605.29482964</v>
      </c>
      <c r="C67" t="s">
        <v>144</v>
      </c>
    </row>
    <row r="69" spans="1:4">
      <c r="A69" s="4" t="s">
        <v>8</v>
      </c>
    </row>
    <row r="70" spans="1:4">
      <c r="A70" t="s">
        <v>23</v>
      </c>
      <c r="B70" s="5">
        <f>B60</f>
        <v>1.3385956046414482</v>
      </c>
      <c r="C70" t="s">
        <v>42</v>
      </c>
    </row>
    <row r="71" spans="1:4">
      <c r="B71" s="5">
        <f>1-B60</f>
        <v>-0.33859560464144822</v>
      </c>
    </row>
    <row r="72" spans="1:4">
      <c r="B72" s="5">
        <v>-1</v>
      </c>
    </row>
    <row r="74" spans="1:4">
      <c r="A74" t="s">
        <v>43</v>
      </c>
      <c r="B74" s="5">
        <f t="array" ref="B74:D74">TRANSPOSE(B70:B72)</f>
        <v>1.3385956046414482</v>
      </c>
      <c r="C74" s="5">
        <v>-0.33859560464144822</v>
      </c>
      <c r="D74" s="5">
        <v>-1</v>
      </c>
    </row>
    <row r="76" spans="1:4">
      <c r="A76" t="s">
        <v>26</v>
      </c>
      <c r="B76" s="5">
        <f t="array" ref="B76:B78">MMULT(B37:D39,B70:B72)</f>
        <v>0.73499741319213108</v>
      </c>
    </row>
    <row r="77" spans="1:4">
      <c r="B77" s="5">
        <v>-8.464890116036207E-4</v>
      </c>
    </row>
    <row r="78" spans="1:4">
      <c r="B78" s="5">
        <v>-2.5000000000000005E-3</v>
      </c>
    </row>
    <row r="80" spans="1:4">
      <c r="A80" t="s">
        <v>44</v>
      </c>
      <c r="B80" s="5">
        <f>MMULT(B74:D74,B76:B78)</f>
        <v>0.98665092418052724</v>
      </c>
    </row>
    <row r="81" spans="1:6">
      <c r="A81" t="s">
        <v>45</v>
      </c>
      <c r="B81" s="5">
        <f>SQRT(B80)</f>
        <v>0.99330303743647497</v>
      </c>
    </row>
    <row r="83" spans="1:6">
      <c r="A83" t="s">
        <v>46</v>
      </c>
      <c r="B83" s="2">
        <f>B22+B9-B11</f>
        <v>0.125</v>
      </c>
    </row>
    <row r="84" spans="1:6">
      <c r="A84" t="s">
        <v>47</v>
      </c>
      <c r="B84" s="2">
        <f>B22+B13-B11</f>
        <v>0.32499999999999996</v>
      </c>
    </row>
    <row r="85" spans="1:6">
      <c r="A85" t="s">
        <v>31</v>
      </c>
      <c r="B85" s="5">
        <f>0.5-B83/B80</f>
        <v>0.37330878942436507</v>
      </c>
    </row>
    <row r="86" spans="1:6">
      <c r="A86" t="s">
        <v>32</v>
      </c>
      <c r="B86" s="5">
        <f>B85^2+2*B84/B80</f>
        <v>0.79815374725478649</v>
      </c>
      <c r="D86" t="s">
        <v>48</v>
      </c>
      <c r="E86" t="s">
        <v>49</v>
      </c>
      <c r="F86" t="s">
        <v>50</v>
      </c>
    </row>
    <row r="87" spans="1:6">
      <c r="A87" t="s">
        <v>51</v>
      </c>
      <c r="B87" s="3">
        <f>B85+SQRT(B86)</f>
        <v>1.2667032976091797</v>
      </c>
      <c r="D87">
        <f>B87*D60</f>
        <v>1.6956034665644761</v>
      </c>
      <c r="E87">
        <f>B87*E60</f>
        <v>-0.42890016895529653</v>
      </c>
      <c r="F87" s="5">
        <f>1-B87</f>
        <v>-0.26670329760917966</v>
      </c>
    </row>
    <row r="88" spans="1:6">
      <c r="A88" t="s">
        <v>52</v>
      </c>
      <c r="B88" s="3">
        <f>1-B87</f>
        <v>-0.26670329760917966</v>
      </c>
      <c r="F88" s="5"/>
    </row>
    <row r="89" spans="1:6">
      <c r="A89" t="s">
        <v>53</v>
      </c>
      <c r="B89" s="3">
        <f>((B87-1)^(B87-1))/(B87^B87)</f>
        <v>0.52102821466746918</v>
      </c>
      <c r="F89" s="5"/>
    </row>
    <row r="90" spans="1:6">
      <c r="B90" s="5"/>
      <c r="D90" t="s">
        <v>54</v>
      </c>
      <c r="E90" t="s">
        <v>55</v>
      </c>
      <c r="F90" t="s">
        <v>56</v>
      </c>
    </row>
    <row r="91" spans="1:6">
      <c r="A91" t="s">
        <v>57</v>
      </c>
      <c r="B91">
        <f>B93*(E12^E91)*(E13^F91)</f>
        <v>403089903.94857621</v>
      </c>
      <c r="D91" s="3">
        <f>1/D60</f>
        <v>0.74705160881493904</v>
      </c>
      <c r="E91" s="3">
        <f>-E60/D60</f>
        <v>0.25294839118506096</v>
      </c>
      <c r="F91" s="3">
        <f>1/D60</f>
        <v>0.74705160881493904</v>
      </c>
    </row>
    <row r="92" spans="1:6">
      <c r="A92" t="s">
        <v>58</v>
      </c>
      <c r="B92">
        <f>B89*B64^B87</f>
        <v>0.19970747755512253</v>
      </c>
      <c r="D92" s="5"/>
    </row>
    <row r="93" spans="1:6">
      <c r="A93" t="s">
        <v>59</v>
      </c>
      <c r="B93">
        <f>(B87/(B64*(B87-1)))^D91</f>
        <v>5.6377474497351798</v>
      </c>
      <c r="D93" s="5"/>
    </row>
    <row r="94" spans="1:6">
      <c r="A94" t="s">
        <v>60</v>
      </c>
      <c r="B94">
        <f>B92*(E18^D87)*(E19^E87)*(E20^F87)</f>
        <v>119914941.27327818</v>
      </c>
    </row>
    <row r="95" spans="1:6">
      <c r="A95" t="s">
        <v>61</v>
      </c>
      <c r="B95">
        <f>B89*(B66^B87)*(E20^B88)</f>
        <v>119914941.27327786</v>
      </c>
      <c r="D95" t="s">
        <v>142</v>
      </c>
    </row>
    <row r="97" spans="1:3">
      <c r="B97">
        <f>B65*(B87/(B64*(B87-1)))^F91</f>
        <v>22.288133256441697</v>
      </c>
    </row>
    <row r="98" spans="1:3">
      <c r="A98" t="s">
        <v>62</v>
      </c>
      <c r="B98">
        <f>B91/E13</f>
        <v>6.7181650658096039</v>
      </c>
    </row>
    <row r="100" spans="1:3">
      <c r="A100" t="s">
        <v>63</v>
      </c>
      <c r="B100">
        <f>B67</f>
        <v>173412605.29482964</v>
      </c>
    </row>
    <row r="102" spans="1:3">
      <c r="A102" t="s">
        <v>64</v>
      </c>
      <c r="B102">
        <f>IF(E18&lt;B91,B95,B100-E20)</f>
        <v>119914941.27327786</v>
      </c>
      <c r="C102" t="s">
        <v>145</v>
      </c>
    </row>
    <row r="104" spans="1:3">
      <c r="A104" t="s">
        <v>111</v>
      </c>
    </row>
    <row r="105" spans="1:3">
      <c r="A105" t="s">
        <v>112</v>
      </c>
      <c r="B105">
        <f>B91/B63</f>
        <v>0.84967452255610909</v>
      </c>
    </row>
    <row r="107" spans="1:3">
      <c r="A107" t="s">
        <v>113</v>
      </c>
      <c r="B107">
        <f>B87*(B60-1)/(B87-1)</f>
        <v>1.6081547277446719</v>
      </c>
      <c r="C107" t="s">
        <v>147</v>
      </c>
    </row>
    <row r="108" spans="1:3">
      <c r="A108" t="s">
        <v>114</v>
      </c>
      <c r="B108">
        <f>(B107*E13/E12)^(1/B60)</f>
        <v>0.84967452255610987</v>
      </c>
    </row>
    <row r="109" spans="1:3">
      <c r="A109" s="4" t="s">
        <v>9</v>
      </c>
    </row>
    <row r="110" spans="1:3">
      <c r="A110" t="s">
        <v>23</v>
      </c>
      <c r="B110" s="5">
        <f>B60*B87</f>
        <v>1.6956034665644761</v>
      </c>
      <c r="C110" t="s">
        <v>65</v>
      </c>
    </row>
    <row r="111" spans="1:3">
      <c r="B111" s="5">
        <f>B87*(1-B60)</f>
        <v>-0.42890016895529653</v>
      </c>
    </row>
    <row r="112" spans="1:3">
      <c r="B112" s="5">
        <f>1-B87</f>
        <v>-0.26670329760917966</v>
      </c>
    </row>
    <row r="113" spans="1:7">
      <c r="B113" s="5">
        <v>-1</v>
      </c>
    </row>
    <row r="115" spans="1:7">
      <c r="A115" t="s">
        <v>43</v>
      </c>
      <c r="B115" s="5">
        <f t="array" ref="B115:E115">TRANSPOSE(B110:B113)</f>
        <v>1.6956034665644761</v>
      </c>
      <c r="C115" s="5">
        <v>-0.42890016895529653</v>
      </c>
      <c r="D115" s="5">
        <v>-0.26670329760917966</v>
      </c>
      <c r="E115" s="5">
        <v>-1</v>
      </c>
    </row>
    <row r="117" spans="1:7">
      <c r="A117" t="s">
        <v>26</v>
      </c>
      <c r="B117" s="5">
        <f t="array" ref="B117:B120">MMULT(B37:E40,B110:B113)</f>
        <v>0.9310236470246892</v>
      </c>
    </row>
    <row r="118" spans="1:7">
      <c r="B118" s="5">
        <v>-1.0722504223882416E-3</v>
      </c>
    </row>
    <row r="119" spans="1:7">
      <c r="B119" s="5">
        <v>-6.6675824402294924E-4</v>
      </c>
    </row>
    <row r="120" spans="1:7">
      <c r="B120" s="5">
        <v>-2.5000000000000005E-3</v>
      </c>
    </row>
    <row r="122" spans="1:7">
      <c r="A122" t="s">
        <v>66</v>
      </c>
      <c r="B122" s="5">
        <f>MMULT(B115:E115,B117:B120)</f>
        <v>1.5817846383582781</v>
      </c>
    </row>
    <row r="123" spans="1:7">
      <c r="A123" t="s">
        <v>67</v>
      </c>
      <c r="B123" s="5">
        <f>SQRT(B122)</f>
        <v>1.2576901996748953</v>
      </c>
    </row>
    <row r="125" spans="1:7">
      <c r="A125" t="s">
        <v>68</v>
      </c>
      <c r="B125" s="2">
        <f>B22+B13-B15</f>
        <v>0.32499999999999996</v>
      </c>
    </row>
    <row r="126" spans="1:7">
      <c r="A126" t="s">
        <v>69</v>
      </c>
      <c r="B126" s="2">
        <f>B22+B17-B15</f>
        <v>0.52499999999999991</v>
      </c>
    </row>
    <row r="127" spans="1:7">
      <c r="A127" t="s">
        <v>31</v>
      </c>
      <c r="B127" s="5">
        <f>0.5-B125/B122</f>
        <v>0.29453587288765498</v>
      </c>
    </row>
    <row r="128" spans="1:7">
      <c r="A128" t="s">
        <v>32</v>
      </c>
      <c r="B128" s="5">
        <f>B127^2+2*B126/B122</f>
        <v>0.75055856031911516</v>
      </c>
      <c r="D128" t="s">
        <v>70</v>
      </c>
      <c r="E128" t="s">
        <v>71</v>
      </c>
      <c r="F128" t="s">
        <v>72</v>
      </c>
      <c r="G128" t="s">
        <v>73</v>
      </c>
    </row>
    <row r="129" spans="1:11">
      <c r="A129" t="s">
        <v>74</v>
      </c>
      <c r="B129" s="5">
        <f>B127+SQRT(B128)</f>
        <v>1.160883701602609</v>
      </c>
      <c r="D129">
        <f>B129*D87</f>
        <v>1.9683984287155847</v>
      </c>
      <c r="E129">
        <f>B129*E87</f>
        <v>-0.49790321575480906</v>
      </c>
      <c r="F129">
        <f>B129*F87</f>
        <v>-0.30961151135816672</v>
      </c>
      <c r="G129" s="5">
        <f>1-B129</f>
        <v>-0.16088370160260901</v>
      </c>
    </row>
    <row r="130" spans="1:11">
      <c r="A130" t="s">
        <v>75</v>
      </c>
      <c r="B130" s="5">
        <f>1-B129</f>
        <v>-0.16088370160260901</v>
      </c>
      <c r="G130" s="5"/>
    </row>
    <row r="131" spans="1:11">
      <c r="A131" t="s">
        <v>76</v>
      </c>
      <c r="B131" s="3">
        <f>((B129-1)^(B129-1))/(B129^B129)</f>
        <v>0.62679938171849758</v>
      </c>
      <c r="D131" s="5"/>
    </row>
    <row r="132" spans="1:11">
      <c r="B132" s="3"/>
      <c r="D132" t="s">
        <v>77</v>
      </c>
      <c r="E132" t="s">
        <v>78</v>
      </c>
      <c r="F132" t="s">
        <v>79</v>
      </c>
      <c r="G132" t="s">
        <v>80</v>
      </c>
    </row>
    <row r="133" spans="1:11">
      <c r="A133" t="s">
        <v>81</v>
      </c>
      <c r="B133">
        <f>B135*(E12^E133)*(E13^F133)*(E14^G133)</f>
        <v>394038092.04123461</v>
      </c>
      <c r="D133" s="5">
        <f>1/D87</f>
        <v>0.58976053052435451</v>
      </c>
      <c r="E133">
        <f>-E87/D87</f>
        <v>0.25294839118506096</v>
      </c>
      <c r="F133">
        <f>-F87/D87</f>
        <v>0.15729107829058459</v>
      </c>
      <c r="G133">
        <f>1/D87</f>
        <v>0.58976053052435451</v>
      </c>
      <c r="K133" s="6"/>
    </row>
    <row r="134" spans="1:11">
      <c r="A134" t="s">
        <v>82</v>
      </c>
      <c r="B134" s="3">
        <f>B131*B92^B129</f>
        <v>9.6597911140408541E-2</v>
      </c>
      <c r="D134" s="5"/>
    </row>
    <row r="135" spans="1:11">
      <c r="A135" t="s">
        <v>83</v>
      </c>
      <c r="B135" s="3">
        <f>(B129/(B92*(B129-1)))^D133</f>
        <v>8.2942574965974334</v>
      </c>
      <c r="D135" s="5"/>
    </row>
    <row r="136" spans="1:11">
      <c r="B136" s="3"/>
      <c r="D136" s="5"/>
    </row>
    <row r="137" spans="1:11">
      <c r="A137" t="s">
        <v>60</v>
      </c>
      <c r="B137" s="6">
        <f>B134*(E18^D129)*(E19^E129)*(E20^F129)*(E21^G129)</f>
        <v>93932083.360253036</v>
      </c>
      <c r="D137" s="5"/>
    </row>
    <row r="138" spans="1:11">
      <c r="A138" t="s">
        <v>61</v>
      </c>
      <c r="B138" s="6">
        <f>B131*(B95^B129)*(E21^B130)</f>
        <v>93932083.360253155</v>
      </c>
      <c r="D138" s="5"/>
    </row>
    <row r="139" spans="1:11">
      <c r="B139" s="3"/>
      <c r="D139" s="5"/>
    </row>
    <row r="140" spans="1:11">
      <c r="A140" t="s">
        <v>84</v>
      </c>
      <c r="B140">
        <f>B133/E14</f>
        <v>13.134603068041153</v>
      </c>
    </row>
    <row r="142" spans="1:11">
      <c r="A142" t="s">
        <v>85</v>
      </c>
      <c r="B142" s="5">
        <f>B102</f>
        <v>119914941.27327786</v>
      </c>
    </row>
    <row r="143" spans="1:11">
      <c r="A143" t="s">
        <v>86</v>
      </c>
      <c r="B143" s="5">
        <f>IF(E18&lt;B133,B138,B142-E21)</f>
        <v>93932083.360253155</v>
      </c>
    </row>
    <row r="145" spans="1:6">
      <c r="A145" t="s">
        <v>115</v>
      </c>
    </row>
    <row r="146" spans="1:6">
      <c r="A146" t="s">
        <v>116</v>
      </c>
      <c r="B146">
        <f>B133/B91</f>
        <v>0.97754393791888083</v>
      </c>
    </row>
    <row r="148" spans="1:6">
      <c r="A148" t="s">
        <v>113</v>
      </c>
      <c r="B148">
        <f>B129*(B87-1)/(B129-1)</f>
        <v>1.9244429875371902</v>
      </c>
    </row>
    <row r="149" spans="1:6">
      <c r="A149" t="s">
        <v>114</v>
      </c>
      <c r="B149">
        <f>(B148*E14/E13)^(1/(B60*B87))</f>
        <v>0.97754393791888106</v>
      </c>
    </row>
    <row r="150" spans="1:6">
      <c r="A150" s="4" t="s">
        <v>10</v>
      </c>
    </row>
    <row r="151" spans="1:6">
      <c r="A151" t="s">
        <v>23</v>
      </c>
      <c r="B151" s="5">
        <f>B60*B87*B129</f>
        <v>1.9683984287155847</v>
      </c>
      <c r="C151" t="s">
        <v>87</v>
      </c>
    </row>
    <row r="152" spans="1:6">
      <c r="B152" s="5">
        <f>B129*B87*(1-B60)</f>
        <v>-0.49790321575480906</v>
      </c>
    </row>
    <row r="153" spans="1:6">
      <c r="B153" s="5">
        <f>B129*(1-B87)</f>
        <v>-0.30961151135816672</v>
      </c>
    </row>
    <row r="154" spans="1:6">
      <c r="B154" s="5">
        <f>1-B129</f>
        <v>-0.16088370160260901</v>
      </c>
    </row>
    <row r="155" spans="1:6">
      <c r="B155" s="5">
        <v>-1</v>
      </c>
    </row>
    <row r="157" spans="1:6">
      <c r="A157" t="s">
        <v>43</v>
      </c>
      <c r="B157" s="5">
        <f t="array" ref="B157:F157">TRANSPOSE(B151:B155)</f>
        <v>1.9683984287155847</v>
      </c>
      <c r="C157" s="5">
        <v>-0.49790321575480906</v>
      </c>
      <c r="D157" s="5">
        <v>-0.30961151135816672</v>
      </c>
      <c r="E157" s="5">
        <v>-0.16088370160260901</v>
      </c>
      <c r="F157" s="5">
        <v>-1</v>
      </c>
    </row>
    <row r="159" spans="1:6">
      <c r="A159" t="s">
        <v>26</v>
      </c>
      <c r="B159" s="5">
        <f t="array" ref="B159:B163">MMULT(B37:F41,B151:B155)</f>
        <v>1.080810177637582</v>
      </c>
    </row>
    <row r="160" spans="1:6">
      <c r="B160" s="5">
        <v>-1.2447580393870228E-3</v>
      </c>
    </row>
    <row r="161" spans="1:9">
      <c r="B161" s="5">
        <v>-7.7402877839541698E-4</v>
      </c>
    </row>
    <row r="162" spans="1:9">
      <c r="B162" s="5">
        <v>-4.0220925400652257E-4</v>
      </c>
    </row>
    <row r="163" spans="1:9">
      <c r="B163" s="5">
        <v>-2.5000000000000005E-3</v>
      </c>
    </row>
    <row r="165" spans="1:9">
      <c r="A165" t="s">
        <v>88</v>
      </c>
      <c r="B165" s="5">
        <f>MMULT(B157:F157,B159:B163)</f>
        <v>2.1308891815657933</v>
      </c>
    </row>
    <row r="166" spans="1:9">
      <c r="A166" t="s">
        <v>89</v>
      </c>
      <c r="B166" s="5">
        <f>SQRT(B165)</f>
        <v>1.459756548731943</v>
      </c>
    </row>
    <row r="168" spans="1:9">
      <c r="A168" t="s">
        <v>90</v>
      </c>
      <c r="B168" s="2">
        <f>B22+B17-B19</f>
        <v>0.52499999999999991</v>
      </c>
    </row>
    <row r="169" spans="1:9">
      <c r="A169" t="s">
        <v>91</v>
      </c>
      <c r="B169" s="2">
        <f>B22+B21-B19</f>
        <v>0.72499999999999998</v>
      </c>
    </row>
    <row r="170" spans="1:9">
      <c r="A170" t="s">
        <v>31</v>
      </c>
      <c r="B170" s="5">
        <f>0.5-B168/B165</f>
        <v>0.25362397794228508</v>
      </c>
    </row>
    <row r="171" spans="1:9">
      <c r="A171" t="s">
        <v>32</v>
      </c>
      <c r="B171" s="5">
        <f>B170^2+2*B169/B165</f>
        <v>0.74479223072762424</v>
      </c>
      <c r="D171" t="s">
        <v>92</v>
      </c>
      <c r="E171" t="s">
        <v>93</v>
      </c>
      <c r="F171" t="s">
        <v>94</v>
      </c>
      <c r="G171" t="s">
        <v>95</v>
      </c>
      <c r="H171" t="s">
        <v>96</v>
      </c>
      <c r="I171" t="s">
        <v>137</v>
      </c>
    </row>
    <row r="172" spans="1:9">
      <c r="A172" t="s">
        <v>97</v>
      </c>
      <c r="B172" s="5">
        <f>B170+SQRT(B171)</f>
        <v>1.116637437123325</v>
      </c>
      <c r="D172">
        <f>B172*D129</f>
        <v>2.1979873766785505</v>
      </c>
      <c r="E172">
        <f>B172*E129</f>
        <v>-0.55597737077591192</v>
      </c>
      <c r="F172">
        <f>B172*F129</f>
        <v>-0.34572380454686252</v>
      </c>
      <c r="G172">
        <f>B172*G129</f>
        <v>-0.1796487642324511</v>
      </c>
      <c r="H172" s="5">
        <f>1-B172</f>
        <v>-0.11663743712332497</v>
      </c>
      <c r="I172" s="5">
        <f>SUM(D172:H172)</f>
        <v>1</v>
      </c>
    </row>
    <row r="173" spans="1:9">
      <c r="A173" t="s">
        <v>98</v>
      </c>
      <c r="B173" s="5">
        <f>1-B172</f>
        <v>-0.11663743712332497</v>
      </c>
      <c r="D173" s="5"/>
      <c r="I173" s="5"/>
    </row>
    <row r="174" spans="1:9">
      <c r="A174" t="s">
        <v>99</v>
      </c>
      <c r="B174" s="3">
        <f>((B172-1)^(B172-1))/(B172^B172)</f>
        <v>0.688109943478175</v>
      </c>
      <c r="I174" s="5"/>
    </row>
    <row r="175" spans="1:9">
      <c r="D175" t="s">
        <v>100</v>
      </c>
      <c r="E175" t="s">
        <v>101</v>
      </c>
      <c r="F175" t="s">
        <v>102</v>
      </c>
      <c r="G175" t="s">
        <v>103</v>
      </c>
      <c r="H175" t="s">
        <v>104</v>
      </c>
      <c r="I175" s="5"/>
    </row>
    <row r="176" spans="1:9">
      <c r="A176" t="s">
        <v>105</v>
      </c>
      <c r="B176">
        <f>B178*(E12^E176)*(E13^F176)*(E14^G176)*(E15^H176)</f>
        <v>345068808.09211928</v>
      </c>
      <c r="D176" s="5">
        <f>1/D129</f>
        <v>0.50802722935138589</v>
      </c>
      <c r="E176">
        <f>-E129/D129</f>
        <v>0.25294839118506096</v>
      </c>
      <c r="F176">
        <f>-F129/D129</f>
        <v>0.15729107829058459</v>
      </c>
      <c r="G176">
        <f>-G129/D129</f>
        <v>8.1733301172968578E-2</v>
      </c>
      <c r="H176">
        <f>1/D129</f>
        <v>0.50802722935138589</v>
      </c>
      <c r="I176" s="5">
        <f>SUM(E176:H176)</f>
        <v>1</v>
      </c>
    </row>
    <row r="177" spans="1:2">
      <c r="A177" t="s">
        <v>106</v>
      </c>
      <c r="B177" s="3">
        <f>B174*B134^B172</f>
        <v>5.0609821653851757E-2</v>
      </c>
    </row>
    <row r="178" spans="1:2">
      <c r="A178" t="s">
        <v>107</v>
      </c>
      <c r="B178" s="3">
        <f>(B172/(B134*(B172-1)))^D176</f>
        <v>10.329432092568844</v>
      </c>
    </row>
    <row r="180" spans="1:2">
      <c r="A180" t="s">
        <v>60</v>
      </c>
      <c r="B180">
        <f>B177*(E18^D172)*(E19^E172)*(E20^F172)*(E21^G172)*(E22^H172)</f>
        <v>80057031.37190783</v>
      </c>
    </row>
    <row r="181" spans="1:2">
      <c r="A181" t="s">
        <v>61</v>
      </c>
      <c r="B181">
        <f>B174*(B137^B172)*(E22^B173)</f>
        <v>80057031.371907637</v>
      </c>
    </row>
    <row r="183" spans="1:2">
      <c r="A183" t="s">
        <v>84</v>
      </c>
      <c r="B183">
        <f>B176/E22</f>
        <v>23.004587206141284</v>
      </c>
    </row>
    <row r="185" spans="1:2">
      <c r="A185" t="s">
        <v>108</v>
      </c>
      <c r="B185" s="5">
        <f>B143</f>
        <v>93932083.360253155</v>
      </c>
    </row>
    <row r="186" spans="1:2">
      <c r="A186" t="s">
        <v>109</v>
      </c>
      <c r="B186" s="6">
        <f>B174*(B185^B172)*(E22^B173)</f>
        <v>80057031.371907637</v>
      </c>
    </row>
    <row r="188" spans="1:2">
      <c r="A188" t="s">
        <v>110</v>
      </c>
      <c r="B188">
        <f>IF(E18&lt;B176,B186,B185-E22)</f>
        <v>80057031.371907637</v>
      </c>
    </row>
    <row r="190" spans="1:2">
      <c r="A190" t="s">
        <v>117</v>
      </c>
    </row>
    <row r="191" spans="1:2">
      <c r="A191" t="s">
        <v>118</v>
      </c>
      <c r="B191">
        <f>B176/B133</f>
        <v>0.87572449228083538</v>
      </c>
    </row>
    <row r="193" spans="1:2">
      <c r="A193" t="s">
        <v>113</v>
      </c>
      <c r="B193">
        <f>B172*(B129-1)/(B172-1)</f>
        <v>1.540232438770941</v>
      </c>
    </row>
    <row r="194" spans="1:2">
      <c r="A194" t="s">
        <v>114</v>
      </c>
      <c r="B194">
        <f>(B193*E15/E14)^(1/(B60*B87*B129))</f>
        <v>0.87572449228083526</v>
      </c>
    </row>
  </sheetData>
  <printOptions horizontalCentered="1" headings="1"/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"/>
  <sheetViews>
    <sheetView topLeftCell="A17" workbookViewId="0">
      <selection sqref="A1:I40"/>
    </sheetView>
  </sheetViews>
  <sheetFormatPr defaultRowHeight="15"/>
  <cols>
    <col min="2" max="2" width="9.28515625" bestFit="1" customWidth="1"/>
    <col min="3" max="3" width="11.140625" bestFit="1" customWidth="1"/>
    <col min="4" max="4" width="12.7109375" bestFit="1" customWidth="1"/>
    <col min="5" max="6" width="12.7109375" customWidth="1"/>
    <col min="7" max="7" width="13.7109375" bestFit="1" customWidth="1"/>
    <col min="8" max="8" width="12.5703125" bestFit="1" customWidth="1"/>
  </cols>
  <sheetData>
    <row r="1" spans="1:13">
      <c r="B1" t="s">
        <v>139</v>
      </c>
      <c r="C1" t="s">
        <v>142</v>
      </c>
    </row>
    <row r="2" spans="1:13">
      <c r="A2" t="s">
        <v>138</v>
      </c>
    </row>
    <row r="3" spans="1:13" ht="15.75">
      <c r="A3" s="10" t="str">
        <f>A21</f>
        <v>Stage</v>
      </c>
      <c r="B3" s="10" t="str">
        <f>B21</f>
        <v>Volatility</v>
      </c>
      <c r="C3" s="11" t="s">
        <v>141</v>
      </c>
      <c r="D3" s="10" t="str">
        <f t="shared" ref="D3:E7" si="0">C36</f>
        <v>K^</v>
      </c>
      <c r="E3" s="10" t="str">
        <f t="shared" si="0"/>
        <v>V^</v>
      </c>
      <c r="F3" s="10" t="str">
        <f>F36</f>
        <v>ROV</v>
      </c>
      <c r="G3" s="14" t="str">
        <f>B36</f>
        <v>LB</v>
      </c>
      <c r="H3" s="14" t="str">
        <f>E36</f>
        <v>K (J-1)/K(J)</v>
      </c>
      <c r="I3" t="s">
        <v>243</v>
      </c>
    </row>
    <row r="4" spans="1:13">
      <c r="A4" s="12">
        <v>1</v>
      </c>
      <c r="B4" s="13">
        <f>B22</f>
        <v>0.74268499378942621</v>
      </c>
      <c r="C4" s="13">
        <f t="shared" ref="C4:C7" si="1">C22</f>
        <v>1.3385956046414482</v>
      </c>
      <c r="D4" s="26">
        <f t="shared" si="0"/>
        <v>120000000</v>
      </c>
      <c r="E4" s="26">
        <f t="shared" si="0"/>
        <v>474405073.05779284</v>
      </c>
      <c r="F4" s="26">
        <f>F37</f>
        <v>173412605.29482964</v>
      </c>
      <c r="G4" s="12" t="s">
        <v>142</v>
      </c>
      <c r="H4" s="12" t="s">
        <v>142</v>
      </c>
      <c r="I4" s="7">
        <v>0</v>
      </c>
    </row>
    <row r="5" spans="1:13">
      <c r="A5" s="12">
        <v>2</v>
      </c>
      <c r="B5" s="13">
        <f>B23</f>
        <v>0.99330303743647497</v>
      </c>
      <c r="C5" s="13">
        <f t="shared" si="1"/>
        <v>1.2667032976091797</v>
      </c>
      <c r="D5" s="26">
        <f t="shared" si="0"/>
        <v>60000000</v>
      </c>
      <c r="E5" s="26">
        <f t="shared" si="0"/>
        <v>403089903.94857621</v>
      </c>
      <c r="F5" s="26">
        <f>F38</f>
        <v>119914941.27327818</v>
      </c>
      <c r="G5" s="15">
        <f>B38</f>
        <v>1.6081547277446719</v>
      </c>
      <c r="H5" s="15">
        <f t="shared" ref="H5:H7" si="2">E38</f>
        <v>2</v>
      </c>
      <c r="I5" s="7">
        <f>I6/2</f>
        <v>0.19999999999999998</v>
      </c>
    </row>
    <row r="6" spans="1:13">
      <c r="A6" s="12">
        <v>3</v>
      </c>
      <c r="B6" s="13">
        <f>B24</f>
        <v>1.2576901996748953</v>
      </c>
      <c r="C6" s="13">
        <f t="shared" si="1"/>
        <v>1.160883701602609</v>
      </c>
      <c r="D6" s="26">
        <f t="shared" si="0"/>
        <v>30000000</v>
      </c>
      <c r="E6" s="26">
        <f t="shared" si="0"/>
        <v>394038092.04123461</v>
      </c>
      <c r="F6" s="26">
        <f>F39</f>
        <v>93932083.360253036</v>
      </c>
      <c r="G6" s="15">
        <f>B39</f>
        <v>1.9244429875371902</v>
      </c>
      <c r="H6" s="15">
        <f t="shared" si="2"/>
        <v>2</v>
      </c>
      <c r="I6" s="7">
        <f>I7/1.5</f>
        <v>0.39999999999999997</v>
      </c>
    </row>
    <row r="7" spans="1:13">
      <c r="A7" s="12">
        <v>4</v>
      </c>
      <c r="B7" s="13">
        <f>B25</f>
        <v>1.459756548731943</v>
      </c>
      <c r="C7" s="13">
        <f t="shared" si="1"/>
        <v>1.116637437123325</v>
      </c>
      <c r="D7" s="26">
        <f t="shared" si="0"/>
        <v>15000000</v>
      </c>
      <c r="E7" s="26">
        <f t="shared" si="0"/>
        <v>345068808.09211928</v>
      </c>
      <c r="F7" s="26">
        <f>F40</f>
        <v>80057031.37190783</v>
      </c>
      <c r="G7" s="15">
        <f>B40</f>
        <v>1.540232438770941</v>
      </c>
      <c r="H7" s="15">
        <f t="shared" si="2"/>
        <v>2</v>
      </c>
      <c r="I7" s="7">
        <v>0.6</v>
      </c>
    </row>
    <row r="8" spans="1:13">
      <c r="A8" s="31" t="s">
        <v>204</v>
      </c>
      <c r="B8" s="28"/>
      <c r="C8" s="28"/>
      <c r="E8" s="29"/>
      <c r="F8" s="29"/>
      <c r="G8" s="30"/>
      <c r="H8" s="30"/>
    </row>
    <row r="9" spans="1:13">
      <c r="A9" s="32" t="s">
        <v>264</v>
      </c>
      <c r="C9" s="28"/>
      <c r="D9" s="29"/>
      <c r="E9" s="29"/>
      <c r="F9" s="29"/>
      <c r="G9" s="30"/>
      <c r="H9" s="30"/>
      <c r="M9" t="s">
        <v>142</v>
      </c>
    </row>
    <row r="10" spans="1:13">
      <c r="A10" s="32" t="s">
        <v>265</v>
      </c>
      <c r="C10" s="28"/>
      <c r="D10" s="29"/>
      <c r="E10" s="29"/>
      <c r="F10" s="29"/>
      <c r="G10" s="30"/>
      <c r="H10" s="30"/>
    </row>
    <row r="11" spans="1:13">
      <c r="A11" s="32" t="s">
        <v>210</v>
      </c>
      <c r="C11" s="28"/>
      <c r="D11" s="29"/>
      <c r="E11" s="29"/>
      <c r="H11" s="30"/>
    </row>
    <row r="12" spans="1:13">
      <c r="A12" s="32" t="s">
        <v>205</v>
      </c>
      <c r="C12" s="28"/>
      <c r="D12" s="29"/>
      <c r="E12" s="29"/>
      <c r="F12" s="29"/>
      <c r="G12" s="30"/>
      <c r="H12" s="30"/>
    </row>
    <row r="13" spans="1:13">
      <c r="A13" s="32" t="s">
        <v>206</v>
      </c>
      <c r="C13" s="28"/>
      <c r="D13" s="29"/>
      <c r="E13" s="29"/>
      <c r="F13" s="29" t="s">
        <v>3</v>
      </c>
      <c r="G13" s="30" t="s">
        <v>203</v>
      </c>
      <c r="H13" s="30" t="s">
        <v>244</v>
      </c>
    </row>
    <row r="14" spans="1:13">
      <c r="A14" s="32" t="s">
        <v>266</v>
      </c>
      <c r="C14" s="28"/>
      <c r="D14" s="29"/>
      <c r="E14" s="29"/>
      <c r="F14" s="29">
        <f>'Edison Feb 2016'!$B$20</f>
        <v>278131457.58231097</v>
      </c>
      <c r="G14" s="29">
        <f>SUM(D4:D7)</f>
        <v>225000000</v>
      </c>
      <c r="H14" s="29">
        <f>F14-G14</f>
        <v>53131457.582310975</v>
      </c>
    </row>
    <row r="15" spans="1:13">
      <c r="A15" s="32" t="s">
        <v>142</v>
      </c>
      <c r="C15" s="28"/>
      <c r="D15" s="29"/>
      <c r="E15" s="29"/>
      <c r="F15" s="29"/>
      <c r="G15" s="30"/>
      <c r="H15" s="30"/>
    </row>
    <row r="16" spans="1:13">
      <c r="A16" s="32" t="s">
        <v>209</v>
      </c>
      <c r="C16" s="28"/>
      <c r="D16" s="29"/>
      <c r="E16" s="29"/>
      <c r="F16" s="29"/>
      <c r="G16" s="30"/>
      <c r="H16" s="30"/>
    </row>
    <row r="17" spans="1:8">
      <c r="A17" s="27"/>
      <c r="B17" s="32"/>
      <c r="C17" s="28"/>
      <c r="D17" s="29"/>
      <c r="E17" s="29"/>
      <c r="F17" s="29"/>
      <c r="G17" s="30"/>
      <c r="H17" s="30"/>
    </row>
    <row r="18" spans="1:8">
      <c r="A18" s="27"/>
      <c r="B18" s="32" t="s">
        <v>207</v>
      </c>
      <c r="C18" s="28"/>
      <c r="D18" s="29"/>
      <c r="E18" s="29"/>
      <c r="F18" s="29"/>
      <c r="G18" s="30"/>
      <c r="H18" s="30"/>
    </row>
    <row r="19" spans="1:8">
      <c r="A19" s="27"/>
      <c r="B19" s="32" t="s">
        <v>211</v>
      </c>
      <c r="C19" s="28"/>
      <c r="D19" s="29"/>
      <c r="E19" s="29"/>
      <c r="F19" s="29"/>
      <c r="G19" s="30"/>
      <c r="H19" s="30"/>
    </row>
    <row r="20" spans="1:8">
      <c r="A20" s="27"/>
      <c r="B20" s="32" t="s">
        <v>208</v>
      </c>
      <c r="C20" s="28"/>
      <c r="D20" s="29"/>
      <c r="E20" s="29"/>
      <c r="F20" s="29"/>
      <c r="G20" s="30"/>
      <c r="H20" s="30"/>
    </row>
    <row r="21" spans="1:8">
      <c r="A21" t="s">
        <v>119</v>
      </c>
      <c r="B21" t="s">
        <v>20</v>
      </c>
      <c r="C21" t="s">
        <v>120</v>
      </c>
      <c r="D21" t="s">
        <v>122</v>
      </c>
      <c r="E21" t="s">
        <v>123</v>
      </c>
    </row>
    <row r="22" spans="1:8">
      <c r="A22">
        <v>1</v>
      </c>
      <c r="B22" s="7">
        <f>Input!B54</f>
        <v>0.74268499378942621</v>
      </c>
      <c r="C22" s="5">
        <f>Input!B60</f>
        <v>1.3385956046414482</v>
      </c>
      <c r="D22" s="3">
        <f>Input!B64</f>
        <v>0.46905075340934449</v>
      </c>
      <c r="E22" s="3">
        <f>Input!B64</f>
        <v>0.46905075340934449</v>
      </c>
    </row>
    <row r="23" spans="1:8">
      <c r="A23">
        <v>2</v>
      </c>
      <c r="B23" s="7">
        <f>Input!B81</f>
        <v>0.99330303743647497</v>
      </c>
      <c r="C23" s="5">
        <f>Input!B87</f>
        <v>1.2667032976091797</v>
      </c>
      <c r="D23" s="3">
        <f>Input!B89</f>
        <v>0.52102821466746918</v>
      </c>
      <c r="E23" s="3">
        <f>Input!B92</f>
        <v>0.19970747755512253</v>
      </c>
    </row>
    <row r="24" spans="1:8">
      <c r="A24">
        <v>3</v>
      </c>
      <c r="B24" s="7">
        <f>Input!B123</f>
        <v>1.2576901996748953</v>
      </c>
      <c r="C24" s="5">
        <f>Input!B129</f>
        <v>1.160883701602609</v>
      </c>
      <c r="D24" s="3">
        <f>Input!B131</f>
        <v>0.62679938171849758</v>
      </c>
      <c r="E24" s="3">
        <f>Input!B134</f>
        <v>9.6597911140408541E-2</v>
      </c>
    </row>
    <row r="25" spans="1:8">
      <c r="A25">
        <v>4</v>
      </c>
      <c r="B25" s="7">
        <f>Input!B166</f>
        <v>1.459756548731943</v>
      </c>
      <c r="C25" s="5">
        <f>Input!B172</f>
        <v>1.116637437123325</v>
      </c>
      <c r="D25" s="3">
        <f>Input!B174</f>
        <v>0.688109943478175</v>
      </c>
      <c r="E25" s="3">
        <f>Input!B177</f>
        <v>5.0609821653851757E-2</v>
      </c>
    </row>
    <row r="26" spans="1:8">
      <c r="A26" t="s">
        <v>119</v>
      </c>
      <c r="B26" t="s">
        <v>121</v>
      </c>
      <c r="C26" t="s">
        <v>128</v>
      </c>
      <c r="D26" t="s">
        <v>129</v>
      </c>
      <c r="E26" t="s">
        <v>130</v>
      </c>
      <c r="F26" t="s">
        <v>131</v>
      </c>
    </row>
    <row r="27" spans="1:8">
      <c r="A27">
        <v>1</v>
      </c>
      <c r="B27" s="5">
        <f>Input!D60</f>
        <v>1.3385956046414482</v>
      </c>
      <c r="C27" s="5">
        <f>Input!E60</f>
        <v>-0.33859560464144822</v>
      </c>
      <c r="D27" s="5"/>
      <c r="E27" s="5"/>
      <c r="F27" s="5"/>
    </row>
    <row r="28" spans="1:8">
      <c r="A28">
        <v>2</v>
      </c>
      <c r="B28" s="5">
        <f>Input!D87</f>
        <v>1.6956034665644761</v>
      </c>
      <c r="C28" s="5">
        <f>Input!E87</f>
        <v>-0.42890016895529653</v>
      </c>
      <c r="D28" s="5">
        <f>Input!F87</f>
        <v>-0.26670329760917966</v>
      </c>
      <c r="E28" s="5"/>
      <c r="F28" s="5"/>
    </row>
    <row r="29" spans="1:8">
      <c r="A29">
        <v>3</v>
      </c>
      <c r="B29" s="5">
        <f>Input!D129</f>
        <v>1.9683984287155847</v>
      </c>
      <c r="C29" s="5">
        <f>Input!E129</f>
        <v>-0.49790321575480906</v>
      </c>
      <c r="D29" s="5">
        <f>Input!F129</f>
        <v>-0.30961151135816672</v>
      </c>
      <c r="E29" s="5">
        <f>Input!G129</f>
        <v>-0.16088370160260901</v>
      </c>
      <c r="F29" s="5"/>
    </row>
    <row r="30" spans="1:8">
      <c r="A30">
        <v>4</v>
      </c>
      <c r="B30" s="5">
        <f>Input!D172</f>
        <v>2.1979873766785505</v>
      </c>
      <c r="C30" s="5">
        <f>Input!E172</f>
        <v>-0.55597737077591192</v>
      </c>
      <c r="D30" s="5">
        <f>Input!F172</f>
        <v>-0.34572380454686252</v>
      </c>
      <c r="E30" s="5">
        <f>Input!G172</f>
        <v>-0.1796487642324511</v>
      </c>
      <c r="F30" s="5">
        <f>Input!H172</f>
        <v>-0.11663743712332497</v>
      </c>
    </row>
    <row r="31" spans="1:8">
      <c r="A31" t="s">
        <v>119</v>
      </c>
      <c r="B31" t="s">
        <v>132</v>
      </c>
      <c r="C31" t="s">
        <v>133</v>
      </c>
      <c r="D31" t="s">
        <v>134</v>
      </c>
      <c r="E31" t="s">
        <v>135</v>
      </c>
    </row>
    <row r="32" spans="1:8">
      <c r="A32">
        <v>1</v>
      </c>
      <c r="B32" s="5">
        <v>1</v>
      </c>
      <c r="C32" s="5"/>
      <c r="D32" s="5"/>
      <c r="E32" s="5"/>
    </row>
    <row r="33" spans="1:6">
      <c r="A33">
        <v>2</v>
      </c>
      <c r="B33" s="5">
        <f>Input!E91</f>
        <v>0.25294839118506096</v>
      </c>
      <c r="C33" s="5">
        <f>Input!F91</f>
        <v>0.74705160881493904</v>
      </c>
      <c r="D33" s="5"/>
      <c r="E33" s="5"/>
    </row>
    <row r="34" spans="1:6">
      <c r="A34">
        <v>3</v>
      </c>
      <c r="B34" s="5">
        <f>Input!E133</f>
        <v>0.25294839118506096</v>
      </c>
      <c r="C34" s="5">
        <f>Input!F133</f>
        <v>0.15729107829058459</v>
      </c>
      <c r="D34" s="5">
        <f>Input!G133</f>
        <v>0.58976053052435451</v>
      </c>
      <c r="E34" s="5"/>
    </row>
    <row r="35" spans="1:6">
      <c r="A35">
        <v>4</v>
      </c>
      <c r="B35" s="5">
        <f>Input!E176</f>
        <v>0.25294839118506096</v>
      </c>
      <c r="C35" s="5">
        <f>Input!F176</f>
        <v>0.15729107829058459</v>
      </c>
      <c r="D35" s="5">
        <f>Input!G176</f>
        <v>8.1733301172968578E-2</v>
      </c>
      <c r="E35" s="5">
        <f>Input!H176</f>
        <v>0.50802722935138589</v>
      </c>
    </row>
    <row r="36" spans="1:6">
      <c r="A36" t="s">
        <v>119</v>
      </c>
      <c r="B36" t="s">
        <v>124</v>
      </c>
      <c r="C36" t="s">
        <v>126</v>
      </c>
      <c r="D36" t="s">
        <v>125</v>
      </c>
      <c r="E36" t="s">
        <v>136</v>
      </c>
      <c r="F36" t="s">
        <v>140</v>
      </c>
    </row>
    <row r="37" spans="1:6">
      <c r="A37">
        <v>1</v>
      </c>
      <c r="B37" s="5"/>
      <c r="C37" s="24">
        <f>Input!E12</f>
        <v>120000000</v>
      </c>
      <c r="D37" s="24">
        <f>Input!B63</f>
        <v>474405073.05779284</v>
      </c>
      <c r="E37" s="33"/>
      <c r="F37" s="24">
        <f>Input!$B$66</f>
        <v>173412605.29482964</v>
      </c>
    </row>
    <row r="38" spans="1:6">
      <c r="A38">
        <v>2</v>
      </c>
      <c r="B38" s="5">
        <f>Input!B107</f>
        <v>1.6081547277446719</v>
      </c>
      <c r="C38" s="24">
        <f>Input!E13</f>
        <v>60000000</v>
      </c>
      <c r="D38" s="24">
        <f>Input!B91</f>
        <v>403089903.94857621</v>
      </c>
      <c r="E38" s="33">
        <f>C37/C38</f>
        <v>2</v>
      </c>
      <c r="F38" s="24">
        <f>Input!$B$94</f>
        <v>119914941.27327818</v>
      </c>
    </row>
    <row r="39" spans="1:6">
      <c r="A39">
        <v>3</v>
      </c>
      <c r="B39" s="5">
        <f>Input!B148</f>
        <v>1.9244429875371902</v>
      </c>
      <c r="C39" s="24">
        <f>Input!E14</f>
        <v>30000000</v>
      </c>
      <c r="D39" s="24">
        <f>Input!B133</f>
        <v>394038092.04123461</v>
      </c>
      <c r="E39" s="33">
        <f t="shared" ref="E39:E40" si="3">C38/C39</f>
        <v>2</v>
      </c>
      <c r="F39" s="24">
        <f>Input!$B$137</f>
        <v>93932083.360253036</v>
      </c>
    </row>
    <row r="40" spans="1:6">
      <c r="A40">
        <v>4</v>
      </c>
      <c r="B40" s="5">
        <f>Input!B193</f>
        <v>1.540232438770941</v>
      </c>
      <c r="C40" s="24">
        <f>Input!E15</f>
        <v>15000000</v>
      </c>
      <c r="D40" s="24">
        <f>Input!B176</f>
        <v>345068808.09211928</v>
      </c>
      <c r="E40" s="33">
        <f t="shared" si="3"/>
        <v>2</v>
      </c>
      <c r="F40" s="24">
        <f>Input!$B$180</f>
        <v>80057031.37190783</v>
      </c>
    </row>
  </sheetData>
  <printOptions horizontalCentered="1" headings="1"/>
  <pageMargins left="0.7" right="0.7" top="0.75" bottom="0.75" header="0.3" footer="0.3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abSelected="1" topLeftCell="B1" workbookViewId="0">
      <selection activeCell="A38" sqref="A1:O38"/>
    </sheetView>
  </sheetViews>
  <sheetFormatPr defaultRowHeight="15"/>
  <cols>
    <col min="1" max="1" width="11.5703125" bestFit="1" customWidth="1"/>
    <col min="2" max="2" width="17.28515625" bestFit="1" customWidth="1"/>
    <col min="3" max="3" width="11.140625" bestFit="1" customWidth="1"/>
    <col min="4" max="6" width="11.85546875" bestFit="1" customWidth="1"/>
    <col min="7" max="7" width="12.7109375" bestFit="1" customWidth="1"/>
    <col min="8" max="8" width="11.140625" bestFit="1" customWidth="1"/>
    <col min="9" max="15" width="12.7109375" bestFit="1" customWidth="1"/>
  </cols>
  <sheetData>
    <row r="1" spans="1:15">
      <c r="A1" t="s">
        <v>230</v>
      </c>
    </row>
    <row r="2" spans="1:15">
      <c r="A2" s="4">
        <v>0.125</v>
      </c>
    </row>
    <row r="3" spans="1:15">
      <c r="A3" t="s">
        <v>231</v>
      </c>
      <c r="B3">
        <v>2016</v>
      </c>
      <c r="C3">
        <v>2017</v>
      </c>
      <c r="D3">
        <v>2018</v>
      </c>
      <c r="E3">
        <f>D3+1</f>
        <v>2019</v>
      </c>
      <c r="F3">
        <f t="shared" ref="F3:O3" si="0">E3+1</f>
        <v>2020</v>
      </c>
      <c r="G3">
        <f t="shared" si="0"/>
        <v>2021</v>
      </c>
      <c r="H3">
        <f t="shared" si="0"/>
        <v>2022</v>
      </c>
      <c r="I3">
        <f t="shared" si="0"/>
        <v>2023</v>
      </c>
      <c r="J3">
        <f t="shared" si="0"/>
        <v>2024</v>
      </c>
      <c r="K3">
        <f t="shared" si="0"/>
        <v>2025</v>
      </c>
      <c r="L3">
        <f t="shared" si="0"/>
        <v>2026</v>
      </c>
      <c r="M3">
        <f t="shared" si="0"/>
        <v>2027</v>
      </c>
      <c r="N3">
        <f t="shared" si="0"/>
        <v>2028</v>
      </c>
      <c r="O3">
        <f t="shared" si="0"/>
        <v>2029</v>
      </c>
    </row>
    <row r="4" spans="1:15">
      <c r="A4" s="4">
        <v>12500</v>
      </c>
    </row>
    <row r="5" spans="1:15">
      <c r="A5" s="4">
        <v>50000</v>
      </c>
      <c r="B5" s="24">
        <v>-10000000</v>
      </c>
      <c r="C5" s="24">
        <f>B5*1.5</f>
        <v>-15000000</v>
      </c>
      <c r="D5" s="24">
        <f t="shared" ref="D5:F5" si="1">C5*2</f>
        <v>-30000000</v>
      </c>
      <c r="E5" s="24">
        <f t="shared" si="1"/>
        <v>-60000000</v>
      </c>
      <c r="F5" s="24">
        <f t="shared" si="1"/>
        <v>-120000000</v>
      </c>
      <c r="G5" s="24">
        <f t="shared" ref="G5:O5" si="2">$A$4*$A$5*G6</f>
        <v>125000000</v>
      </c>
      <c r="H5" s="24">
        <f t="shared" si="2"/>
        <v>131250000.00000001</v>
      </c>
      <c r="I5" s="24">
        <f t="shared" si="2"/>
        <v>137500000.00000003</v>
      </c>
      <c r="J5" s="24">
        <f t="shared" si="2"/>
        <v>143750000.00000003</v>
      </c>
      <c r="K5" s="24">
        <f t="shared" si="2"/>
        <v>150000000.00000003</v>
      </c>
      <c r="L5" s="24">
        <f t="shared" si="2"/>
        <v>156250000.00000003</v>
      </c>
      <c r="M5" s="24">
        <f t="shared" si="2"/>
        <v>156250000.00000003</v>
      </c>
      <c r="N5" s="24">
        <f t="shared" si="2"/>
        <v>156250000.00000003</v>
      </c>
      <c r="O5" s="24">
        <f t="shared" si="2"/>
        <v>156250000.00000003</v>
      </c>
    </row>
    <row r="6" spans="1:15">
      <c r="A6" t="s">
        <v>233</v>
      </c>
      <c r="G6">
        <v>0.2</v>
      </c>
      <c r="H6">
        <f>G6+0.01</f>
        <v>0.21000000000000002</v>
      </c>
      <c r="I6">
        <f t="shared" ref="I6:L6" si="3">H6+0.01</f>
        <v>0.22000000000000003</v>
      </c>
      <c r="J6">
        <f t="shared" si="3"/>
        <v>0.23000000000000004</v>
      </c>
      <c r="K6">
        <f t="shared" si="3"/>
        <v>0.24000000000000005</v>
      </c>
      <c r="L6" s="4">
        <f t="shared" si="3"/>
        <v>0.25000000000000006</v>
      </c>
      <c r="M6">
        <f>L6</f>
        <v>0.25000000000000006</v>
      </c>
      <c r="N6">
        <f t="shared" ref="N6:O6" si="4">M6</f>
        <v>0.25000000000000006</v>
      </c>
      <c r="O6">
        <f t="shared" si="4"/>
        <v>0.25000000000000006</v>
      </c>
    </row>
    <row r="7" spans="1:15">
      <c r="A7" t="s">
        <v>234</v>
      </c>
      <c r="B7" s="24">
        <f>B5</f>
        <v>-10000000</v>
      </c>
      <c r="C7" s="24">
        <f t="shared" ref="C7:F7" si="5">C5</f>
        <v>-15000000</v>
      </c>
      <c r="D7" s="24">
        <f t="shared" si="5"/>
        <v>-30000000</v>
      </c>
      <c r="E7" s="24">
        <f t="shared" si="5"/>
        <v>-60000000</v>
      </c>
      <c r="F7" s="24">
        <f t="shared" si="5"/>
        <v>-120000000</v>
      </c>
      <c r="G7" s="24">
        <f>G5*$B$8</f>
        <v>37500000</v>
      </c>
      <c r="H7" s="24">
        <f t="shared" ref="H7:O7" si="6">H5*$B$8</f>
        <v>39375000</v>
      </c>
      <c r="I7" s="24">
        <f t="shared" si="6"/>
        <v>41250000.000000007</v>
      </c>
      <c r="J7" s="24">
        <f t="shared" si="6"/>
        <v>43125000.000000007</v>
      </c>
      <c r="K7" s="24">
        <f t="shared" si="6"/>
        <v>45000000.000000007</v>
      </c>
      <c r="L7" s="24">
        <f t="shared" si="6"/>
        <v>46875000.000000007</v>
      </c>
      <c r="M7" s="24">
        <f t="shared" si="6"/>
        <v>46875000.000000007</v>
      </c>
      <c r="N7" s="24">
        <f t="shared" si="6"/>
        <v>46875000.000000007</v>
      </c>
      <c r="O7" s="24">
        <f t="shared" si="6"/>
        <v>46875000.000000007</v>
      </c>
    </row>
    <row r="8" spans="1:15">
      <c r="A8" t="s">
        <v>236</v>
      </c>
      <c r="B8" s="4">
        <v>0.3</v>
      </c>
    </row>
    <row r="9" spans="1:15">
      <c r="A9" t="s">
        <v>235</v>
      </c>
      <c r="B9" s="48">
        <f>NPV(A2,B7:O7)</f>
        <v>-21836728.716478236</v>
      </c>
    </row>
    <row r="10" spans="1:15">
      <c r="A10" t="s">
        <v>232</v>
      </c>
    </row>
    <row r="11" spans="1:15">
      <c r="A11" s="4">
        <v>10500</v>
      </c>
    </row>
    <row r="12" spans="1:15">
      <c r="A12" s="4">
        <v>40000</v>
      </c>
      <c r="G12" s="24">
        <f>$A$11*$A$12*G13</f>
        <v>63000000</v>
      </c>
      <c r="H12" s="24">
        <f t="shared" ref="H12:O12" si="7">$A$11*$A$12*H13</f>
        <v>75600000</v>
      </c>
      <c r="I12" s="24">
        <f t="shared" si="7"/>
        <v>88200000</v>
      </c>
      <c r="J12" s="24">
        <f t="shared" si="7"/>
        <v>100800000</v>
      </c>
      <c r="K12" s="24">
        <f t="shared" si="7"/>
        <v>113400000.00000001</v>
      </c>
      <c r="L12" s="24">
        <f t="shared" si="7"/>
        <v>126000000.00000001</v>
      </c>
      <c r="M12" s="24">
        <f t="shared" si="7"/>
        <v>126000000.00000001</v>
      </c>
      <c r="N12" s="24">
        <f t="shared" si="7"/>
        <v>126000000.00000001</v>
      </c>
      <c r="O12" s="24">
        <f t="shared" si="7"/>
        <v>126000000.00000001</v>
      </c>
    </row>
    <row r="13" spans="1:15">
      <c r="G13">
        <v>0.15</v>
      </c>
      <c r="H13">
        <f>G13+0.03</f>
        <v>0.18</v>
      </c>
      <c r="I13">
        <f t="shared" ref="I13:L13" si="8">H13+0.03</f>
        <v>0.21</v>
      </c>
      <c r="J13">
        <f t="shared" si="8"/>
        <v>0.24</v>
      </c>
      <c r="K13">
        <f t="shared" si="8"/>
        <v>0.27</v>
      </c>
      <c r="L13" s="4">
        <f t="shared" si="8"/>
        <v>0.30000000000000004</v>
      </c>
      <c r="M13">
        <f>L13</f>
        <v>0.30000000000000004</v>
      </c>
      <c r="N13">
        <f t="shared" ref="N13:O13" si="9">M13</f>
        <v>0.30000000000000004</v>
      </c>
      <c r="O13">
        <f t="shared" si="9"/>
        <v>0.30000000000000004</v>
      </c>
    </row>
    <row r="14" spans="1:15">
      <c r="A14" t="s">
        <v>234</v>
      </c>
      <c r="G14" s="24">
        <f>G12*$B$15</f>
        <v>18900000</v>
      </c>
      <c r="H14" s="24">
        <f t="shared" ref="H14:O14" si="10">H12*$B$15</f>
        <v>22680000</v>
      </c>
      <c r="I14" s="24">
        <f t="shared" si="10"/>
        <v>26460000</v>
      </c>
      <c r="J14" s="24">
        <f t="shared" si="10"/>
        <v>30240000</v>
      </c>
      <c r="K14" s="24">
        <f t="shared" si="10"/>
        <v>34020000</v>
      </c>
      <c r="L14" s="24">
        <f t="shared" si="10"/>
        <v>37800000</v>
      </c>
      <c r="M14" s="24">
        <f t="shared" si="10"/>
        <v>37800000</v>
      </c>
      <c r="N14" s="24">
        <f t="shared" si="10"/>
        <v>37800000</v>
      </c>
      <c r="O14" s="24">
        <f t="shared" si="10"/>
        <v>37800000</v>
      </c>
    </row>
    <row r="15" spans="1:15">
      <c r="A15" t="s">
        <v>236</v>
      </c>
      <c r="B15" s="4">
        <v>0.3</v>
      </c>
    </row>
    <row r="16" spans="1:15">
      <c r="A16" t="s">
        <v>235</v>
      </c>
      <c r="B16" s="46">
        <f>NPV(A2,B14:O14)</f>
        <v>154108307.21531615</v>
      </c>
    </row>
    <row r="17" spans="1:15">
      <c r="A17" t="s">
        <v>237</v>
      </c>
      <c r="B17" s="47">
        <f>B9+B16</f>
        <v>132271578.49883792</v>
      </c>
      <c r="C17" s="49">
        <v>127000000</v>
      </c>
      <c r="D17" s="50" t="s">
        <v>242</v>
      </c>
    </row>
    <row r="18" spans="1:15">
      <c r="A18" t="s">
        <v>173</v>
      </c>
      <c r="B18" s="46"/>
      <c r="G18" s="24">
        <f>G5+G12</f>
        <v>188000000</v>
      </c>
      <c r="H18" s="24">
        <f t="shared" ref="H18:O18" si="11">H5+H12</f>
        <v>206850000</v>
      </c>
      <c r="I18" s="24">
        <f t="shared" si="11"/>
        <v>225700000.00000003</v>
      </c>
      <c r="J18" s="24">
        <f t="shared" si="11"/>
        <v>244550000.00000003</v>
      </c>
      <c r="K18" s="24">
        <f t="shared" si="11"/>
        <v>263400000.00000006</v>
      </c>
      <c r="L18" s="45">
        <f>L5+L12</f>
        <v>282250000.00000006</v>
      </c>
      <c r="M18" s="24">
        <f t="shared" si="11"/>
        <v>282250000.00000006</v>
      </c>
      <c r="N18" s="24">
        <f t="shared" si="11"/>
        <v>282250000.00000006</v>
      </c>
      <c r="O18" s="24">
        <f t="shared" si="11"/>
        <v>282250000.00000006</v>
      </c>
    </row>
    <row r="19" spans="1:15">
      <c r="A19" t="s">
        <v>238</v>
      </c>
      <c r="B19" s="46">
        <f>NPV(A2,B5:F5)</f>
        <v>-145859879.08347306</v>
      </c>
      <c r="L19" s="51">
        <v>333000000</v>
      </c>
    </row>
    <row r="20" spans="1:15">
      <c r="A20" t="s">
        <v>254</v>
      </c>
      <c r="B20" s="47">
        <f>B17-B19</f>
        <v>278131457.58231097</v>
      </c>
      <c r="L20" s="50" t="s">
        <v>242</v>
      </c>
    </row>
    <row r="21" spans="1:15">
      <c r="A21" t="s">
        <v>239</v>
      </c>
      <c r="C21" s="45">
        <f>C5</f>
        <v>-15000000</v>
      </c>
      <c r="D21" s="45">
        <f t="shared" ref="D21:F21" si="12">D5</f>
        <v>-30000000</v>
      </c>
      <c r="E21" s="45">
        <f t="shared" si="12"/>
        <v>-60000000</v>
      </c>
      <c r="F21" s="45">
        <f t="shared" si="12"/>
        <v>-120000000</v>
      </c>
      <c r="L21" s="50"/>
    </row>
    <row r="22" spans="1:15">
      <c r="A22" t="s">
        <v>240</v>
      </c>
      <c r="B22" s="24">
        <f>SUM(C21:F21)</f>
        <v>-225000000</v>
      </c>
      <c r="L22" s="50"/>
    </row>
    <row r="23" spans="1:15">
      <c r="A23" t="s">
        <v>255</v>
      </c>
      <c r="B23" s="48">
        <f>B20+B22</f>
        <v>53131457.582310975</v>
      </c>
      <c r="C23" t="s">
        <v>241</v>
      </c>
      <c r="L23" s="50"/>
    </row>
    <row r="25" spans="1:15">
      <c r="A25" t="s">
        <v>245</v>
      </c>
    </row>
    <row r="26" spans="1:15">
      <c r="B26" t="s">
        <v>256</v>
      </c>
    </row>
    <row r="27" spans="1:15">
      <c r="B27" t="s">
        <v>257</v>
      </c>
    </row>
    <row r="28" spans="1:15">
      <c r="B28" t="s">
        <v>246</v>
      </c>
    </row>
    <row r="29" spans="1:15">
      <c r="C29" t="s">
        <v>249</v>
      </c>
    </row>
    <row r="30" spans="1:15">
      <c r="C30" t="s">
        <v>253</v>
      </c>
    </row>
    <row r="31" spans="1:15">
      <c r="C31" t="s">
        <v>258</v>
      </c>
    </row>
    <row r="32" spans="1:15">
      <c r="C32" t="s">
        <v>247</v>
      </c>
    </row>
    <row r="33" spans="3:3">
      <c r="C33" t="s">
        <v>248</v>
      </c>
    </row>
    <row r="34" spans="3:3">
      <c r="C34" t="s">
        <v>260</v>
      </c>
    </row>
    <row r="35" spans="3:3">
      <c r="C35" t="s">
        <v>259</v>
      </c>
    </row>
    <row r="36" spans="3:3">
      <c r="C36" t="s">
        <v>250</v>
      </c>
    </row>
    <row r="37" spans="3:3">
      <c r="C37" t="s">
        <v>251</v>
      </c>
    </row>
    <row r="38" spans="3:3">
      <c r="C38" t="s">
        <v>252</v>
      </c>
    </row>
  </sheetData>
  <printOptions horizontalCentered="1" verticalCentered="1" gridLines="1"/>
  <pageMargins left="0.7" right="0.7" top="0.75" bottom="0.75" header="0.3" footer="0.3"/>
  <pageSetup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EPS</vt:lpstr>
      <vt:lpstr>StemCells</vt:lpstr>
      <vt:lpstr>Input</vt:lpstr>
      <vt:lpstr>Output</vt:lpstr>
      <vt:lpstr>Edison Feb 2016</vt:lpstr>
    </vt:vector>
  </TitlesOfParts>
  <Company>University of Bradford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radkins</dc:creator>
  <cp:lastModifiedBy>dp</cp:lastModifiedBy>
  <cp:lastPrinted>2016-03-28T16:03:00Z</cp:lastPrinted>
  <dcterms:created xsi:type="dcterms:W3CDTF">2013-04-15T09:59:04Z</dcterms:created>
  <dcterms:modified xsi:type="dcterms:W3CDTF">2016-03-28T16:04:23Z</dcterms:modified>
</cp:coreProperties>
</file>